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Dropbox (WiLS)\WiLS-wide\WPLC\Financials\Budgets\WPLC budget\2022\"/>
    </mc:Choice>
  </mc:AlternateContent>
  <xr:revisionPtr revIDLastSave="0" documentId="13_ncr:1_{BDC2D648-DB3D-489E-943A-D7E82A335298}" xr6:coauthVersionLast="46" xr6:coauthVersionMax="46" xr10:uidLastSave="{00000000-0000-0000-0000-000000000000}"/>
  <bookViews>
    <workbookView xWindow="28680" yWindow="-120" windowWidth="29040" windowHeight="15840" tabRatio="740" xr2:uid="{00000000-000D-0000-FFFF-FFFF00000000}"/>
  </bookViews>
  <sheets>
    <sheet name="2022 budget" sheetId="1" r:id="rId1"/>
    <sheet name="21-22 comparison and totals" sheetId="7" state="hidden" r:id="rId2"/>
    <sheet name="21-22 comparisons and totals" sheetId="9" r:id="rId3"/>
    <sheet name="Member shares" sheetId="2" r:id="rId4"/>
    <sheet name="Buying pool summary" sheetId="3" r:id="rId5"/>
    <sheet name="Buying pool 21-22 comparison" sheetId="6" r:id="rId6"/>
    <sheet name="Magazine Costs" sheetId="8" r:id="rId7"/>
  </sheets>
  <definedNames>
    <definedName name="_xlnm.Print_Area" localSheetId="1">'21-22 comparison and totals'!$A$1:$F$23</definedName>
    <definedName name="_xlnm.Print_Area" localSheetId="5">'Buying pool 21-22 comparison'!#REF!</definedName>
  </definedNames>
  <calcPr calcId="181029"/>
</workbook>
</file>

<file path=xl/calcChain.xml><?xml version="1.0" encoding="utf-8"?>
<calcChain xmlns="http://schemas.openxmlformats.org/spreadsheetml/2006/main">
  <c r="C7" i="1" l="1"/>
  <c r="D12" i="1" l="1"/>
  <c r="I23" i="9" l="1"/>
  <c r="H22" i="9"/>
  <c r="G22" i="9"/>
  <c r="J22" i="9" s="1"/>
  <c r="B22" i="9"/>
  <c r="H21" i="9"/>
  <c r="G21" i="9"/>
  <c r="J21" i="9" s="1"/>
  <c r="H20" i="9"/>
  <c r="G20" i="9"/>
  <c r="J20" i="9" s="1"/>
  <c r="H19" i="9"/>
  <c r="G19" i="9"/>
  <c r="J19" i="9" s="1"/>
  <c r="H18" i="9"/>
  <c r="G18" i="9"/>
  <c r="J18" i="9" s="1"/>
  <c r="H17" i="9"/>
  <c r="G17" i="9"/>
  <c r="J17" i="9" s="1"/>
  <c r="H16" i="9"/>
  <c r="G16" i="9"/>
  <c r="H15" i="9"/>
  <c r="G15" i="9"/>
  <c r="J15" i="9" s="1"/>
  <c r="B15" i="9"/>
  <c r="H14" i="9"/>
  <c r="G14" i="9"/>
  <c r="J14" i="9" s="1"/>
  <c r="H13" i="9"/>
  <c r="G13" i="9"/>
  <c r="J13" i="9" s="1"/>
  <c r="H12" i="9"/>
  <c r="G12" i="9"/>
  <c r="J12" i="9" s="1"/>
  <c r="H11" i="9"/>
  <c r="G11" i="9"/>
  <c r="H10" i="9"/>
  <c r="G10" i="9"/>
  <c r="J10" i="9" s="1"/>
  <c r="H9" i="9"/>
  <c r="G9" i="9"/>
  <c r="J9" i="9" s="1"/>
  <c r="H8" i="9"/>
  <c r="G8" i="9"/>
  <c r="J8" i="9" s="1"/>
  <c r="H7" i="9"/>
  <c r="G7" i="9"/>
  <c r="J7" i="9" s="1"/>
  <c r="J11" i="9" l="1"/>
  <c r="J16" i="9"/>
  <c r="H23" i="9"/>
  <c r="G23" i="9"/>
  <c r="E7" i="8"/>
  <c r="E10" i="8"/>
  <c r="E11" i="8"/>
  <c r="E12" i="8"/>
  <c r="E13" i="8"/>
  <c r="E14" i="8"/>
  <c r="E15" i="8"/>
  <c r="E18" i="8"/>
  <c r="E19" i="8"/>
  <c r="E20" i="8"/>
  <c r="E21" i="8"/>
  <c r="E22" i="8"/>
  <c r="E6" i="8"/>
  <c r="C9" i="8"/>
  <c r="C10" i="8"/>
  <c r="F10" i="8" s="1"/>
  <c r="C11" i="8"/>
  <c r="F11" i="8" s="1"/>
  <c r="C12" i="8"/>
  <c r="F12" i="8" s="1"/>
  <c r="C13" i="8"/>
  <c r="G13" i="8" s="1"/>
  <c r="E14" i="9" s="1"/>
  <c r="C17" i="8"/>
  <c r="C18" i="8"/>
  <c r="G18" i="8" s="1"/>
  <c r="E19" i="9" s="1"/>
  <c r="C19" i="8"/>
  <c r="F19" i="8" s="1"/>
  <c r="C20" i="8"/>
  <c r="G20" i="8" s="1"/>
  <c r="E21" i="9" s="1"/>
  <c r="C21" i="8"/>
  <c r="G21" i="8" s="1"/>
  <c r="E22" i="9" s="1"/>
  <c r="D22" i="8"/>
  <c r="E8" i="8" s="1"/>
  <c r="B22" i="8"/>
  <c r="C22" i="8" s="1"/>
  <c r="F18" i="8"/>
  <c r="D28" i="1"/>
  <c r="F20" i="8" l="1"/>
  <c r="G19" i="8"/>
  <c r="E20" i="9" s="1"/>
  <c r="G11" i="8"/>
  <c r="E12" i="9" s="1"/>
  <c r="C15" i="8"/>
  <c r="C7" i="8"/>
  <c r="E17" i="8"/>
  <c r="G17" i="8" s="1"/>
  <c r="E18" i="9" s="1"/>
  <c r="E9" i="8"/>
  <c r="G9" i="8" s="1"/>
  <c r="E10" i="9" s="1"/>
  <c r="G10" i="8"/>
  <c r="E11" i="9" s="1"/>
  <c r="G12" i="8"/>
  <c r="E13" i="9" s="1"/>
  <c r="C16" i="8"/>
  <c r="C8" i="8"/>
  <c r="C6" i="8"/>
  <c r="C14" i="8"/>
  <c r="G14" i="8" s="1"/>
  <c r="E15" i="9" s="1"/>
  <c r="E16" i="8"/>
  <c r="B1" i="2"/>
  <c r="C12" i="1"/>
  <c r="J23" i="9"/>
  <c r="F9" i="8"/>
  <c r="F13" i="8"/>
  <c r="F17" i="8"/>
  <c r="F21" i="8"/>
  <c r="D30" i="1"/>
  <c r="G6" i="8" l="1"/>
  <c r="F6" i="8"/>
  <c r="F8" i="8"/>
  <c r="G8" i="8"/>
  <c r="E9" i="9" s="1"/>
  <c r="F16" i="8"/>
  <c r="G16" i="8"/>
  <c r="E17" i="9" s="1"/>
  <c r="F7" i="8"/>
  <c r="F22" i="8" s="1"/>
  <c r="G7" i="8"/>
  <c r="E8" i="9" s="1"/>
  <c r="F14" i="8"/>
  <c r="G15" i="8"/>
  <c r="E16" i="9" s="1"/>
  <c r="F15" i="8"/>
  <c r="H24" i="3"/>
  <c r="I23" i="3" s="1"/>
  <c r="J23" i="3" s="1"/>
  <c r="E7" i="9" l="1"/>
  <c r="E23" i="9" s="1"/>
  <c r="G22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7" i="7"/>
  <c r="H7" i="7" l="1"/>
  <c r="C30" i="1"/>
  <c r="L24" i="3" l="1"/>
  <c r="G23" i="7"/>
  <c r="F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L25" i="6"/>
  <c r="B15" i="7"/>
  <c r="B22" i="7"/>
  <c r="B25" i="6"/>
  <c r="C25" i="6"/>
  <c r="D25" i="6"/>
  <c r="E25" i="6"/>
  <c r="F25" i="6"/>
  <c r="G25" i="6"/>
  <c r="J25" i="6"/>
  <c r="K25" i="6"/>
  <c r="M25" i="6"/>
  <c r="H25" i="6"/>
  <c r="I25" i="6"/>
  <c r="D24" i="3"/>
  <c r="B24" i="3"/>
  <c r="C12" i="3" s="1"/>
  <c r="I8" i="3"/>
  <c r="J8" i="3" s="1"/>
  <c r="B2" i="2"/>
  <c r="B7" i="2" l="1"/>
  <c r="D8" i="9" s="1"/>
  <c r="B8" i="2"/>
  <c r="D9" i="9" s="1"/>
  <c r="B9" i="2"/>
  <c r="D10" i="9" s="1"/>
  <c r="B17" i="2"/>
  <c r="D18" i="9" s="1"/>
  <c r="B19" i="2"/>
  <c r="D20" i="9" s="1"/>
  <c r="B15" i="2"/>
  <c r="D16" i="9" s="1"/>
  <c r="B10" i="2"/>
  <c r="D11" i="9" s="1"/>
  <c r="B18" i="2"/>
  <c r="D19" i="9" s="1"/>
  <c r="B20" i="2"/>
  <c r="D21" i="9" s="1"/>
  <c r="B11" i="2"/>
  <c r="D12" i="9" s="1"/>
  <c r="B12" i="2"/>
  <c r="D13" i="9" s="1"/>
  <c r="B13" i="2"/>
  <c r="D14" i="9" s="1"/>
  <c r="B21" i="2"/>
  <c r="D22" i="9" s="1"/>
  <c r="B6" i="2"/>
  <c r="D7" i="9" s="1"/>
  <c r="B16" i="2"/>
  <c r="D17" i="9" s="1"/>
  <c r="B14" i="2"/>
  <c r="D15" i="9" s="1"/>
  <c r="E11" i="3"/>
  <c r="E23" i="3"/>
  <c r="H23" i="7"/>
  <c r="I14" i="3"/>
  <c r="J14" i="3" s="1"/>
  <c r="I10" i="3"/>
  <c r="J10" i="3" s="1"/>
  <c r="I21" i="3"/>
  <c r="J21" i="3" s="1"/>
  <c r="I12" i="3"/>
  <c r="J12" i="3" s="1"/>
  <c r="I9" i="3"/>
  <c r="J9" i="3" s="1"/>
  <c r="I17" i="3"/>
  <c r="J17" i="3" s="1"/>
  <c r="E7" i="3"/>
  <c r="E17" i="3"/>
  <c r="C13" i="3"/>
  <c r="C14" i="3"/>
  <c r="C10" i="3"/>
  <c r="C24" i="3"/>
  <c r="C9" i="3"/>
  <c r="C8" i="3"/>
  <c r="C22" i="3"/>
  <c r="C7" i="3"/>
  <c r="C15" i="3"/>
  <c r="C17" i="3"/>
  <c r="C18" i="3"/>
  <c r="C16" i="3"/>
  <c r="C19" i="3"/>
  <c r="C20" i="3"/>
  <c r="C11" i="3"/>
  <c r="G11" i="3" s="1"/>
  <c r="C21" i="3"/>
  <c r="C22" i="2"/>
  <c r="E22" i="3"/>
  <c r="I11" i="3"/>
  <c r="J11" i="3" s="1"/>
  <c r="E15" i="3"/>
  <c r="E16" i="3"/>
  <c r="E24" i="3"/>
  <c r="I18" i="3"/>
  <c r="J18" i="3" s="1"/>
  <c r="E13" i="3"/>
  <c r="E9" i="3"/>
  <c r="I15" i="3"/>
  <c r="J15" i="3" s="1"/>
  <c r="E10" i="3"/>
  <c r="I20" i="3"/>
  <c r="J20" i="3" s="1"/>
  <c r="I7" i="3"/>
  <c r="E20" i="3"/>
  <c r="E21" i="3"/>
  <c r="E14" i="3"/>
  <c r="I16" i="3"/>
  <c r="J16" i="3" s="1"/>
  <c r="E19" i="3"/>
  <c r="I22" i="3"/>
  <c r="J22" i="3" s="1"/>
  <c r="I19" i="3"/>
  <c r="J19" i="3" s="1"/>
  <c r="E18" i="3"/>
  <c r="I13" i="3"/>
  <c r="J13" i="3" s="1"/>
  <c r="E8" i="3"/>
  <c r="E12" i="3"/>
  <c r="F14" i="9" l="1"/>
  <c r="K14" i="9" s="1"/>
  <c r="F18" i="9"/>
  <c r="K18" i="9" s="1"/>
  <c r="D23" i="9"/>
  <c r="D11" i="7"/>
  <c r="D10" i="2"/>
  <c r="D15" i="7"/>
  <c r="D14" i="2"/>
  <c r="D22" i="7"/>
  <c r="D21" i="2"/>
  <c r="D20" i="7"/>
  <c r="D19" i="2"/>
  <c r="D19" i="7"/>
  <c r="D18" i="2"/>
  <c r="D14" i="7"/>
  <c r="D13" i="2"/>
  <c r="D18" i="7"/>
  <c r="D17" i="2"/>
  <c r="D16" i="7"/>
  <c r="D15" i="2"/>
  <c r="D13" i="7"/>
  <c r="D12" i="2"/>
  <c r="D10" i="7"/>
  <c r="D9" i="2"/>
  <c r="D17" i="7"/>
  <c r="D16" i="2"/>
  <c r="D9" i="7"/>
  <c r="D8" i="2"/>
  <c r="D7" i="7"/>
  <c r="D6" i="2"/>
  <c r="B22" i="2"/>
  <c r="D12" i="7"/>
  <c r="D11" i="2"/>
  <c r="D21" i="7"/>
  <c r="D20" i="2"/>
  <c r="D8" i="7"/>
  <c r="D7" i="2"/>
  <c r="G23" i="3"/>
  <c r="K23" i="3" s="1"/>
  <c r="M23" i="3" s="1"/>
  <c r="F23" i="3"/>
  <c r="G18" i="3"/>
  <c r="K18" i="3" s="1"/>
  <c r="C18" i="9" s="1"/>
  <c r="G9" i="3"/>
  <c r="K9" i="3" s="1"/>
  <c r="C9" i="9" s="1"/>
  <c r="F9" i="9" s="1"/>
  <c r="K9" i="9" s="1"/>
  <c r="F17" i="3"/>
  <c r="F15" i="3"/>
  <c r="F18" i="3"/>
  <c r="F9" i="3"/>
  <c r="F11" i="3"/>
  <c r="F16" i="3"/>
  <c r="G17" i="3"/>
  <c r="K17" i="3" s="1"/>
  <c r="C17" i="9" s="1"/>
  <c r="F17" i="9" s="1"/>
  <c r="K17" i="9" s="1"/>
  <c r="F7" i="3"/>
  <c r="G7" i="3"/>
  <c r="G19" i="3"/>
  <c r="K19" i="3" s="1"/>
  <c r="C19" i="9" s="1"/>
  <c r="F19" i="9" s="1"/>
  <c r="K19" i="9" s="1"/>
  <c r="G15" i="3"/>
  <c r="K15" i="3" s="1"/>
  <c r="C15" i="9" s="1"/>
  <c r="F15" i="9" s="1"/>
  <c r="K15" i="9" s="1"/>
  <c r="I24" i="3"/>
  <c r="J7" i="3"/>
  <c r="F12" i="3"/>
  <c r="G12" i="3"/>
  <c r="K12" i="3" s="1"/>
  <c r="C12" i="9" s="1"/>
  <c r="F12" i="9" s="1"/>
  <c r="K12" i="9" s="1"/>
  <c r="F22" i="3"/>
  <c r="G22" i="3"/>
  <c r="K22" i="3" s="1"/>
  <c r="C22" i="9" s="1"/>
  <c r="F22" i="9" s="1"/>
  <c r="K22" i="9" s="1"/>
  <c r="G16" i="3"/>
  <c r="K16" i="3" s="1"/>
  <c r="C16" i="9" s="1"/>
  <c r="F16" i="9" s="1"/>
  <c r="K16" i="9" s="1"/>
  <c r="F8" i="3"/>
  <c r="G8" i="3"/>
  <c r="G20" i="3"/>
  <c r="K20" i="3" s="1"/>
  <c r="C20" i="9" s="1"/>
  <c r="F20" i="9" s="1"/>
  <c r="K20" i="9" s="1"/>
  <c r="F20" i="3"/>
  <c r="G21" i="3"/>
  <c r="K21" i="3" s="1"/>
  <c r="C21" i="9" s="1"/>
  <c r="F21" i="9" s="1"/>
  <c r="K21" i="9" s="1"/>
  <c r="F21" i="3"/>
  <c r="F10" i="3"/>
  <c r="G10" i="3"/>
  <c r="K10" i="3" s="1"/>
  <c r="C10" i="9" s="1"/>
  <c r="F10" i="9" s="1"/>
  <c r="K10" i="9" s="1"/>
  <c r="K11" i="3"/>
  <c r="C11" i="9" s="1"/>
  <c r="F11" i="9" s="1"/>
  <c r="K11" i="9" s="1"/>
  <c r="F14" i="3"/>
  <c r="G14" i="3"/>
  <c r="K14" i="3" s="1"/>
  <c r="C14" i="9" s="1"/>
  <c r="G13" i="3"/>
  <c r="K13" i="3" s="1"/>
  <c r="C13" i="9" s="1"/>
  <c r="F13" i="9" s="1"/>
  <c r="K13" i="9" s="1"/>
  <c r="F13" i="3"/>
  <c r="F19" i="3"/>
  <c r="D23" i="7" l="1"/>
  <c r="K7" i="3"/>
  <c r="M16" i="3"/>
  <c r="C16" i="7"/>
  <c r="E16" i="7" s="1"/>
  <c r="I16" i="7" s="1"/>
  <c r="M15" i="3"/>
  <c r="C15" i="7"/>
  <c r="E15" i="7" s="1"/>
  <c r="I15" i="7" s="1"/>
  <c r="M19" i="3"/>
  <c r="C19" i="7"/>
  <c r="E19" i="7" s="1"/>
  <c r="I19" i="7" s="1"/>
  <c r="M22" i="3"/>
  <c r="C22" i="7"/>
  <c r="E22" i="7" s="1"/>
  <c r="I22" i="7" s="1"/>
  <c r="M10" i="3"/>
  <c r="C10" i="7"/>
  <c r="E10" i="7" s="1"/>
  <c r="I10" i="7" s="1"/>
  <c r="M21" i="3"/>
  <c r="C21" i="7"/>
  <c r="E21" i="7" s="1"/>
  <c r="I21" i="7" s="1"/>
  <c r="M12" i="3"/>
  <c r="C12" i="7"/>
  <c r="E12" i="7" s="1"/>
  <c r="I12" i="7" s="1"/>
  <c r="M13" i="3"/>
  <c r="C13" i="7"/>
  <c r="E13" i="7" s="1"/>
  <c r="I13" i="7" s="1"/>
  <c r="M9" i="3"/>
  <c r="C9" i="7"/>
  <c r="E9" i="7" s="1"/>
  <c r="I9" i="7" s="1"/>
  <c r="M11" i="3"/>
  <c r="C11" i="7"/>
  <c r="E11" i="7" s="1"/>
  <c r="I11" i="7" s="1"/>
  <c r="M14" i="3"/>
  <c r="C14" i="7"/>
  <c r="E14" i="7" s="1"/>
  <c r="I14" i="7" s="1"/>
  <c r="M20" i="3"/>
  <c r="C20" i="7"/>
  <c r="E20" i="7" s="1"/>
  <c r="I20" i="7" s="1"/>
  <c r="M17" i="3"/>
  <c r="C17" i="7"/>
  <c r="E17" i="7" s="1"/>
  <c r="I17" i="7" s="1"/>
  <c r="M18" i="3"/>
  <c r="C18" i="7"/>
  <c r="E18" i="7" s="1"/>
  <c r="I18" i="7" s="1"/>
  <c r="D22" i="2"/>
  <c r="K8" i="3"/>
  <c r="C8" i="9" s="1"/>
  <c r="F8" i="9" s="1"/>
  <c r="K8" i="9" s="1"/>
  <c r="G24" i="3"/>
  <c r="J24" i="3"/>
  <c r="F24" i="3"/>
  <c r="C7" i="7" l="1"/>
  <c r="C7" i="9"/>
  <c r="K24" i="3"/>
  <c r="M8" i="3"/>
  <c r="C8" i="7"/>
  <c r="E8" i="7" s="1"/>
  <c r="I8" i="7" s="1"/>
  <c r="E7" i="7"/>
  <c r="M7" i="3"/>
  <c r="C23" i="9" l="1"/>
  <c r="F7" i="9"/>
  <c r="C23" i="7"/>
  <c r="I7" i="7"/>
  <c r="E23" i="7"/>
  <c r="K7" i="9" l="1"/>
  <c r="F23" i="9"/>
</calcChain>
</file>

<file path=xl/sharedStrings.xml><?xml version="1.0" encoding="utf-8"?>
<sst xmlns="http://schemas.openxmlformats.org/spreadsheetml/2006/main" count="235" uniqueCount="132">
  <si>
    <t>Income</t>
  </si>
  <si>
    <t>Member shares</t>
  </si>
  <si>
    <t>Other income</t>
  </si>
  <si>
    <t>Expenses</t>
  </si>
  <si>
    <t>Website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</si>
  <si>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</si>
  <si>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</si>
  <si>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</si>
  <si>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</si>
  <si>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</si>
  <si>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</si>
  <si>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</si>
  <si>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</si>
  <si>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</si>
  <si>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g.</t>
  </si>
  <si>
    <t>h.</t>
  </si>
  <si>
    <t>i.</t>
  </si>
  <si>
    <t>Digital Newspaper Hosting</t>
  </si>
  <si>
    <t>ContentDM Hosting</t>
  </si>
  <si>
    <t xml:space="preserve">Buying pool income </t>
  </si>
  <si>
    <t>Carryover*</t>
  </si>
  <si>
    <t>R &amp; D</t>
  </si>
  <si>
    <t>OverDrive Content</t>
  </si>
  <si>
    <t>Reserve/R&amp;D Fund Allocations</t>
  </si>
  <si>
    <t>Operating/project expenses</t>
  </si>
  <si>
    <t>Total expenditures in budget:</t>
  </si>
  <si>
    <t>Partner</t>
  </si>
  <si>
    <t>Difference</t>
  </si>
  <si>
    <t>Arrowhead</t>
  </si>
  <si>
    <t xml:space="preserve">Bridges 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</si>
  <si>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</si>
  <si>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</si>
  <si>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</si>
  <si>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</si>
  <si>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</si>
  <si>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</si>
  <si>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</si>
  <si>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</si>
  <si>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</si>
  <si>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</si>
  <si>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</si>
  <si>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</si>
  <si>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</si>
  <si>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</si>
  <si>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</si>
  <si>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</si>
  <si>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</si>
  <si>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</si>
  <si>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</si>
  <si>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</si>
  <si>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</si>
  <si>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</si>
  <si>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</si>
  <si>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% of population</t>
  </si>
  <si>
    <t>Share</t>
  </si>
  <si>
    <t>Holds placed</t>
  </si>
  <si>
    <t>% of holds placed</t>
  </si>
  <si>
    <t>Share (Advantage)</t>
  </si>
  <si>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</si>
  <si>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</si>
  <si>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</si>
  <si>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</si>
  <si>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</si>
  <si>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</si>
  <si>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</si>
  <si>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</si>
  <si>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</si>
  <si>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</si>
  <si>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</si>
  <si>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</si>
  <si>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</si>
  <si>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</si>
  <si>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</si>
  <si>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</si>
  <si>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</si>
  <si>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</si>
  <si>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</si>
  <si>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percentage</t>
  </si>
  <si>
    <t>Base Amount %</t>
  </si>
  <si>
    <t>Base Share Amount</t>
  </si>
  <si>
    <t>Change</t>
  </si>
  <si>
    <t>Base Amount Share</t>
  </si>
  <si>
    <t>Holds Reduction Share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</si>
  <si>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</si>
  <si>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</si>
  <si>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</si>
  <si>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</si>
  <si>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</si>
  <si>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</si>
  <si>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</si>
  <si>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2021 budget</t>
  </si>
  <si>
    <t>2021 cost</t>
  </si>
  <si>
    <t>Buying Pool</t>
  </si>
  <si>
    <t>Buying Pool Total</t>
  </si>
  <si>
    <t>2021 sources/information</t>
  </si>
  <si>
    <t>Percentage of OWLS circulation: 39.6%</t>
  </si>
  <si>
    <t>Percentage of Nicolet circulation: 60.4%</t>
  </si>
  <si>
    <t>OWLS 2019 circulation: 236,560</t>
  </si>
  <si>
    <t>Nicolet 2019 circulation: 360,266</t>
  </si>
  <si>
    <t>Total circulations:  596,825</t>
  </si>
  <si>
    <t>Total holds: 283,503</t>
  </si>
  <si>
    <t>39.6% (for OWLS) of holds: 112,370</t>
  </si>
  <si>
    <t>60.4% (for Nicolet) of holds: 171,133</t>
  </si>
  <si>
    <t>IFLS</t>
  </si>
  <si>
    <t>IFLS Library System</t>
  </si>
  <si>
    <t>2022 budget</t>
  </si>
  <si>
    <t>2022 cost</t>
  </si>
  <si>
    <t>Population*</t>
  </si>
  <si>
    <t>2022 sources/information</t>
  </si>
  <si>
    <t>Total holds: 373,969</t>
  </si>
  <si>
    <t>OWLS 2020 circulation: 280,786</t>
  </si>
  <si>
    <t>Nicolet 2020 circulation: 479,597</t>
  </si>
  <si>
    <t>Total circulations: 760,383</t>
  </si>
  <si>
    <t>Percentage of OWLS circulation: 36.9%</t>
  </si>
  <si>
    <t>Percentage of Nicolet circulation: 63.1%</t>
  </si>
  <si>
    <t>36.9% (for OWLS) of holds: 137,995</t>
  </si>
  <si>
    <t>63.1% (for Nicolet) of holds: 235,974</t>
  </si>
  <si>
    <t>Transparent Languages</t>
  </si>
  <si>
    <t>*We do not assume any carryover in our budget. As of 3/30/2021, there is $44,000 in R&amp;D and $34,833.98 in Reserve.</t>
  </si>
  <si>
    <t>Program management**</t>
  </si>
  <si>
    <t xml:space="preserve">** To bring WiLS up to their standard hourly rate, an increase of $10,750 would be required. The WPLC Budget Committee is recommending this increase over two years, split evenly, totaling an increase of $5,375. </t>
  </si>
  <si>
    <t>Magazine amount</t>
  </si>
  <si>
    <t>Population</t>
  </si>
  <si>
    <t>Total Magazine Cost</t>
  </si>
  <si>
    <t>2022 Magazine Costs - using buying pool formula (25% population and 75% usage)</t>
  </si>
  <si>
    <t>Magazine Cost</t>
  </si>
  <si>
    <t>Magazine Costs</t>
  </si>
  <si>
    <t>j.</t>
  </si>
  <si>
    <t>k.</t>
  </si>
  <si>
    <t>KEY</t>
  </si>
  <si>
    <t>Reserve***</t>
  </si>
  <si>
    <t>***2021 Reserves were reduced by $7,500 to allocate to the Program Management Fee for the Tech Committees.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</si>
</sst>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165" fontId="14" fillId="0" borderId="0" xfId="5" applyNumberFormat="1" applyFont="1" applyFill="1"/>
    <xf numFmtId="0" fontId="17" fillId="0" borderId="0" xfId="0" applyFont="1"/>
    <xf numFmtId="44" fontId="0" fillId="0" borderId="0" xfId="0" applyNumberFormat="1"/>
    <xf numFmtId="3" fontId="13" fillId="0" borderId="0" xfId="3" quotePrefix="1" applyNumberFormat="1" applyFont="1" applyFill="1" applyAlignment="1">
      <alignment horizontal="right"/>
    </xf>
    <xf numFmtId="44" fontId="17" fillId="0" borderId="0" xfId="0" applyNumberFormat="1" applyFont="1"/>
    <xf numFmtId="165" fontId="0" fillId="0" borderId="0" xfId="0" applyNumberFormat="1"/>
    <xf numFmtId="165" fontId="14" fillId="2" borderId="0" xfId="5" applyNumberFormat="1" applyFont="1" applyFill="1"/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0" xfId="0" applyFont="1" applyBorder="1"/>
    <xf numFmtId="0" fontId="0" fillId="0" borderId="2" xfId="0" applyBorder="1" applyAlignment="1">
      <alignment wrapText="1"/>
    </xf>
    <xf numFmtId="165" fontId="0" fillId="4" borderId="0" xfId="0" applyNumberFormat="1" applyFill="1" applyBorder="1"/>
    <xf numFmtId="3" fontId="0" fillId="0" borderId="0" xfId="0" applyNumberFormat="1" applyBorder="1"/>
    <xf numFmtId="0" fontId="12" fillId="0" borderId="2" xfId="8" applyFont="1" applyBorder="1" applyAlignment="1" applyProtection="1">
      <alignment wrapText="1"/>
    </xf>
    <xf numFmtId="3" fontId="0" fillId="0" borderId="0" xfId="0" applyNumberFormat="1" applyFill="1" applyBorder="1"/>
    <xf numFmtId="0" fontId="12" fillId="0" borderId="3" xfId="8" applyFont="1" applyBorder="1" applyAlignment="1" applyProtection="1">
      <alignment wrapText="1"/>
    </xf>
    <xf numFmtId="0" fontId="0" fillId="0" borderId="0" xfId="0" applyBorder="1"/>
    <xf numFmtId="0" fontId="0" fillId="0" borderId="0" xfId="0" applyNumberFormat="1" applyFont="1" applyBorder="1"/>
    <xf numFmtId="44" fontId="0" fillId="0" borderId="0" xfId="0" applyNumberFormat="1" applyBorder="1"/>
    <xf numFmtId="167" fontId="14" fillId="0" borderId="0" xfId="1" applyNumberFormat="1" applyFont="1" applyBorder="1"/>
    <xf numFmtId="168" fontId="14" fillId="0" borderId="0" xfId="11" applyNumberFormat="1" applyFont="1" applyBorder="1"/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0" fontId="14" fillId="4" borderId="0" xfId="10" applyNumberFormat="1" applyFont="1" applyFill="1" applyBorder="1"/>
    <xf numFmtId="168" fontId="14" fillId="2" borderId="0" xfId="13" applyNumberFormat="1" applyFont="1" applyFill="1" applyBorder="1"/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8" fontId="14" fillId="0" borderId="0" xfId="13" applyNumberFormat="1" applyFont="1" applyBorder="1"/>
    <xf numFmtId="0" fontId="12" fillId="0" borderId="0" xfId="8" applyFont="1" applyBorder="1" applyAlignment="1" applyProtection="1">
      <alignment wrapText="1"/>
    </xf>
    <xf numFmtId="0" fontId="17" fillId="0" borderId="0" xfId="0" applyFont="1" applyBorder="1" applyAlignment="1">
      <alignment wrapText="1"/>
    </xf>
    <xf numFmtId="168" fontId="0" fillId="0" borderId="0" xfId="0" applyNumberFormat="1" applyBorder="1"/>
    <xf numFmtId="0" fontId="0" fillId="0" borderId="4" xfId="0" applyBorder="1" applyAlignment="1">
      <alignment wrapText="1"/>
    </xf>
    <xf numFmtId="168" fontId="14" fillId="2" borderId="4" xfId="13" applyNumberFormat="1" applyFont="1" applyFill="1" applyBorder="1"/>
    <xf numFmtId="168" fontId="14" fillId="2" borderId="4" xfId="11" applyNumberFormat="1" applyFont="1" applyFill="1" applyBorder="1"/>
    <xf numFmtId="168" fontId="14" fillId="2" borderId="0" xfId="11" applyNumberFormat="1" applyFont="1" applyFill="1" applyBorder="1"/>
    <xf numFmtId="0" fontId="0" fillId="4" borderId="5" xfId="0" applyFill="1" applyBorder="1" applyAlignment="1">
      <alignment wrapText="1"/>
    </xf>
    <xf numFmtId="168" fontId="14" fillId="4" borderId="4" xfId="11" applyNumberFormat="1" applyFont="1" applyFill="1" applyBorder="1"/>
    <xf numFmtId="168" fontId="14" fillId="4" borderId="0" xfId="11" applyNumberFormat="1" applyFont="1" applyFill="1" applyBorder="1"/>
    <xf numFmtId="165" fontId="14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4" fillId="4" borderId="0" xfId="4" applyNumberFormat="1" applyFont="1" applyFill="1"/>
    <xf numFmtId="165" fontId="14" fillId="2" borderId="4" xfId="4" applyNumberFormat="1" applyFont="1" applyFill="1" applyBorder="1"/>
    <xf numFmtId="165" fontId="14" fillId="2" borderId="0" xfId="4" applyNumberFormat="1" applyFont="1" applyFill="1" applyBorder="1"/>
    <xf numFmtId="0" fontId="0" fillId="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6" fontId="0" fillId="0" borderId="0" xfId="0" applyNumberFormat="1" applyBorder="1"/>
    <xf numFmtId="167" fontId="14" fillId="0" borderId="0" xfId="2" applyNumberFormat="1" applyFont="1" applyBorder="1"/>
    <xf numFmtId="165" fontId="0" fillId="3" borderId="0" xfId="0" applyNumberFormat="1" applyFill="1" applyBorder="1"/>
    <xf numFmtId="10" fontId="22" fillId="0" borderId="0" xfId="0" applyNumberFormat="1" applyFont="1" applyBorder="1"/>
    <xf numFmtId="1" fontId="0" fillId="0" borderId="0" xfId="0" applyNumberFormat="1" applyBorder="1"/>
    <xf numFmtId="44" fontId="0" fillId="3" borderId="0" xfId="0" applyNumberFormat="1" applyFill="1" applyBorder="1"/>
    <xf numFmtId="44" fontId="22" fillId="0" borderId="0" xfId="0" applyNumberFormat="1" applyFont="1" applyFill="1" applyBorder="1"/>
    <xf numFmtId="9" fontId="14" fillId="0" borderId="0" xfId="11" applyFont="1" applyBorder="1"/>
    <xf numFmtId="0" fontId="17" fillId="0" borderId="1" xfId="0" applyFont="1" applyBorder="1"/>
    <xf numFmtId="165" fontId="17" fillId="0" borderId="1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Border="1"/>
    <xf numFmtId="0" fontId="20" fillId="0" borderId="0" xfId="0" applyFont="1" applyBorder="1" applyAlignment="1">
      <alignment horizontal="center"/>
    </xf>
    <xf numFmtId="165" fontId="14" fillId="2" borderId="0" xfId="4" applyNumberFormat="1" applyFont="1" applyFill="1"/>
    <xf numFmtId="9" fontId="14" fillId="0" borderId="0" xfId="10" applyFont="1"/>
    <xf numFmtId="9" fontId="14" fillId="0" borderId="0" xfId="10" applyFont="1" applyBorder="1"/>
    <xf numFmtId="165" fontId="22" fillId="0" borderId="0" xfId="10" applyNumberFormat="1" applyFont="1" applyBorder="1"/>
    <xf numFmtId="165" fontId="0" fillId="0" borderId="0" xfId="0" applyNumberFormat="1" applyBorder="1"/>
    <xf numFmtId="0" fontId="0" fillId="0" borderId="3" xfId="0" applyBorder="1"/>
    <xf numFmtId="0" fontId="0" fillId="0" borderId="2" xfId="0" applyBorder="1"/>
    <xf numFmtId="0" fontId="17" fillId="0" borderId="0" xfId="0" applyFont="1" applyFill="1" applyBorder="1"/>
    <xf numFmtId="0" fontId="0" fillId="0" borderId="1" xfId="0" applyBorder="1"/>
    <xf numFmtId="0" fontId="17" fillId="0" borderId="0" xfId="0" applyFont="1" applyAlignment="1">
      <alignment horizontal="left"/>
    </xf>
    <xf numFmtId="0" fontId="17" fillId="4" borderId="0" xfId="0" applyFont="1" applyFill="1"/>
    <xf numFmtId="165" fontId="14" fillId="4" borderId="0" xfId="5" applyNumberFormat="1" applyFont="1" applyFill="1"/>
    <xf numFmtId="168" fontId="14" fillId="0" borderId="0" xfId="10" applyNumberFormat="1" applyFont="1" applyFill="1" applyBorder="1"/>
    <xf numFmtId="168" fontId="14" fillId="0" borderId="0" xfId="13" applyNumberFormat="1" applyFont="1" applyFill="1" applyBorder="1"/>
    <xf numFmtId="165" fontId="14" fillId="4" borderId="0" xfId="4" applyNumberFormat="1" applyFont="1" applyFill="1" applyBorder="1"/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6" fontId="0" fillId="0" borderId="0" xfId="0" applyNumberFormat="1" applyFill="1"/>
    <xf numFmtId="166" fontId="0" fillId="0" borderId="0" xfId="0" applyNumberFormat="1" applyFill="1" applyAlignment="1">
      <alignment wrapText="1"/>
    </xf>
    <xf numFmtId="166" fontId="4" fillId="0" borderId="0" xfId="0" applyNumberFormat="1" applyFont="1" applyFill="1" applyAlignment="1">
      <alignment wrapText="1"/>
    </xf>
    <xf numFmtId="166" fontId="14" fillId="0" borderId="0" xfId="4" applyNumberFormat="1" applyFont="1" applyFill="1" applyAlignment="1">
      <alignment wrapText="1"/>
    </xf>
    <xf numFmtId="166" fontId="0" fillId="0" borderId="0" xfId="0" applyNumberFormat="1" applyFont="1" applyFill="1"/>
    <xf numFmtId="166" fontId="14" fillId="0" borderId="0" xfId="4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/>
    <xf numFmtId="0" fontId="17" fillId="2" borderId="0" xfId="0" applyFont="1" applyFill="1"/>
    <xf numFmtId="44" fontId="17" fillId="2" borderId="0" xfId="5" applyNumberFormat="1" applyFont="1" applyFill="1"/>
    <xf numFmtId="167" fontId="14" fillId="0" borderId="0" xfId="2" applyNumberFormat="1" applyFont="1" applyFill="1" applyBorder="1"/>
    <xf numFmtId="0" fontId="21" fillId="0" borderId="0" xfId="0" applyFont="1" applyFill="1" applyBorder="1" applyAlignment="1">
      <alignment wrapText="1"/>
    </xf>
    <xf numFmtId="165" fontId="17" fillId="4" borderId="0" xfId="5" applyNumberFormat="1" applyFont="1" applyFill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/>
    <xf numFmtId="6" fontId="4" fillId="0" borderId="0" xfId="0" applyNumberFormat="1" applyFont="1" applyBorder="1"/>
    <xf numFmtId="0" fontId="6" fillId="0" borderId="0" xfId="0" applyFont="1" applyBorder="1"/>
    <xf numFmtId="44" fontId="7" fillId="0" borderId="0" xfId="4" applyFont="1" applyBorder="1"/>
    <xf numFmtId="6" fontId="9" fillId="0" borderId="0" xfId="4" applyNumberFormat="1" applyFont="1" applyBorder="1"/>
    <xf numFmtId="164" fontId="7" fillId="0" borderId="0" xfId="4" applyNumberFormat="1" applyFon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166" fontId="6" fillId="0" borderId="0" xfId="0" applyNumberFormat="1" applyFont="1" applyBorder="1"/>
    <xf numFmtId="10" fontId="7" fillId="0" borderId="0" xfId="4" applyNumberFormat="1" applyFont="1" applyBorder="1"/>
    <xf numFmtId="164" fontId="1" fillId="0" borderId="0" xfId="4" applyNumberFormat="1" applyFont="1" applyBorder="1"/>
    <xf numFmtId="165" fontId="17" fillId="0" borderId="0" xfId="6" applyNumberFormat="1" applyFont="1" applyFill="1" applyBorder="1"/>
    <xf numFmtId="0" fontId="21" fillId="0" borderId="0" xfId="0" applyFont="1" applyFill="1" applyBorder="1" applyAlignment="1"/>
    <xf numFmtId="0" fontId="0" fillId="0" borderId="0" xfId="0" applyFill="1" applyAlignment="1">
      <alignment vertical="top" wrapText="1"/>
    </xf>
    <xf numFmtId="0" fontId="21" fillId="0" borderId="0" xfId="0" applyFont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Font="1" applyBorder="1"/>
    <xf numFmtId="6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165" fontId="0" fillId="4" borderId="0" xfId="0" applyNumberFormat="1" applyFill="1"/>
    <xf numFmtId="165" fontId="22" fillId="0" borderId="0" xfId="13" applyNumberFormat="1" applyFont="1" applyBorder="1"/>
    <xf numFmtId="10" fontId="22" fillId="0" borderId="0" xfId="0" applyNumberFormat="1" applyFont="1"/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165" fontId="0" fillId="0" borderId="0" xfId="0" applyNumberFormat="1" applyFill="1"/>
    <xf numFmtId="165" fontId="14" fillId="0" borderId="0" xfId="6" applyNumberFormat="1" applyFont="1" applyFill="1" applyBorder="1"/>
    <xf numFmtId="44" fontId="0" fillId="0" borderId="0" xfId="0" applyNumberFormat="1" applyFill="1"/>
    <xf numFmtId="44" fontId="22" fillId="0" borderId="0" xfId="0" applyNumberFormat="1" applyFont="1" applyFill="1"/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17" fillId="0" borderId="0" xfId="0" applyFont="1" applyAlignment="1"/>
    <xf numFmtId="0" fontId="0" fillId="0" borderId="0" xfId="0" applyFill="1" applyBorder="1" applyAlignment="1"/>
    <xf numFmtId="0" fontId="20" fillId="0" borderId="1" xfId="0" applyFont="1" applyBorder="1" applyAlignment="1"/>
    <xf numFmtId="0" fontId="0" fillId="0" borderId="1" xfId="0" applyBorder="1" applyAlignment="1"/>
    <xf numFmtId="0" fontId="17" fillId="0" borderId="1" xfId="0" applyFont="1" applyBorder="1" applyAlignment="1"/>
    <xf numFmtId="0" fontId="17" fillId="0" borderId="0" xfId="0" applyFont="1" applyFill="1" applyBorder="1" applyAlignment="1"/>
    <xf numFmtId="0" fontId="0" fillId="0" borderId="2" xfId="0" applyBorder="1" applyAlignment="1"/>
    <xf numFmtId="165" fontId="14" fillId="4" borderId="0" xfId="4" applyNumberFormat="1" applyFont="1" applyFill="1" applyBorder="1" applyAlignment="1"/>
    <xf numFmtId="165" fontId="14" fillId="4" borderId="0" xfId="5" applyNumberFormat="1" applyFont="1" applyFill="1" applyAlignment="1"/>
    <xf numFmtId="165" fontId="14" fillId="2" borderId="0" xfId="4" applyNumberFormat="1" applyFont="1" applyFill="1" applyBorder="1" applyAlignment="1"/>
    <xf numFmtId="165" fontId="14" fillId="2" borderId="0" xfId="5" applyNumberFormat="1" applyFont="1" applyFill="1" applyAlignment="1"/>
    <xf numFmtId="165" fontId="0" fillId="0" borderId="0" xfId="0" applyNumberFormat="1" applyAlignment="1"/>
    <xf numFmtId="0" fontId="12" fillId="0" borderId="2" xfId="8" applyFont="1" applyBorder="1" applyAlignment="1" applyProtection="1"/>
    <xf numFmtId="0" fontId="12" fillId="0" borderId="3" xfId="8" applyFont="1" applyBorder="1" applyAlignment="1" applyProtection="1"/>
    <xf numFmtId="0" fontId="0" fillId="0" borderId="3" xfId="0" applyBorder="1" applyAlignment="1"/>
    <xf numFmtId="165" fontId="0" fillId="0" borderId="0" xfId="0" applyNumberFormat="1" applyBorder="1" applyAlignment="1"/>
    <xf numFmtId="0" fontId="0" fillId="0" borderId="0" xfId="0" applyFill="1" applyAlignment="1">
      <alignment vertical="top" wrapText="1"/>
    </xf>
    <xf numFmtId="0" fontId="24" fillId="0" borderId="1" xfId="0" applyFont="1" applyBorder="1" applyAlignment="1">
      <alignment horizontal="left" wrapText="1"/>
    </xf>
    <xf numFmtId="0" fontId="0" fillId="4" borderId="6" xfId="0" applyFill="1" applyBorder="1" applyAlignment="1"/>
    <xf numFmtId="0" fontId="17" fillId="0" borderId="8" xfId="0" applyFont="1" applyBorder="1" applyAlignment="1"/>
    <xf numFmtId="0" fontId="0" fillId="2" borderId="8" xfId="0" applyFill="1" applyBorder="1" applyAlignment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Percent 4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Layout" zoomScaleNormal="100" workbookViewId="0">
      <selection activeCell="C32" sqref="C32:D32"/>
    </sheetView>
  </sheetViews>
  <sheetFormatPr defaultRowHeight="14.4" x14ac:dyDescent="0.3"/>
  <cols>
    <col min="1" max="1" width="3.6640625" bestFit="1" customWidth="1"/>
    <col min="2" max="2" width="50.33203125" style="1" customWidth="1"/>
    <col min="3" max="3" width="22.44140625" style="1" customWidth="1"/>
    <col min="4" max="4" width="20.6640625" style="1" customWidth="1"/>
    <col min="5" max="5" width="15.5546875" style="33" bestFit="1" customWidth="1"/>
    <col min="6" max="6" width="14" style="33" bestFit="1" customWidth="1"/>
    <col min="7" max="7" width="13.33203125" style="33" bestFit="1" customWidth="1"/>
    <col min="8" max="9" width="13.33203125" style="33" customWidth="1"/>
    <col min="10" max="10" width="54.6640625" style="1" customWidth="1"/>
  </cols>
  <sheetData>
    <row r="1" spans="1:10" x14ac:dyDescent="0.3">
      <c r="C1" s="9"/>
      <c r="D1" s="9"/>
    </row>
    <row r="2" spans="1:10" ht="18" x14ac:dyDescent="0.35">
      <c r="C2" s="98" t="s">
        <v>105</v>
      </c>
      <c r="D2" s="98" t="s">
        <v>90</v>
      </c>
      <c r="E2" s="90"/>
      <c r="F2" s="67"/>
    </row>
    <row r="3" spans="1:10" ht="18" x14ac:dyDescent="0.35">
      <c r="C3" s="99"/>
      <c r="D3" s="99"/>
      <c r="E3" s="115"/>
      <c r="F3" s="115"/>
      <c r="H3" s="116"/>
      <c r="I3" s="116"/>
    </row>
    <row r="4" spans="1:10" ht="15.6" x14ac:dyDescent="0.3">
      <c r="C4" s="100"/>
      <c r="D4" s="100"/>
      <c r="E4" s="117"/>
      <c r="F4" s="117"/>
      <c r="G4" s="117"/>
      <c r="H4" s="118"/>
      <c r="I4" s="119"/>
      <c r="J4" s="3"/>
    </row>
    <row r="5" spans="1:10" ht="18" x14ac:dyDescent="0.35">
      <c r="B5" s="11" t="s">
        <v>0</v>
      </c>
      <c r="C5" s="9"/>
      <c r="D5" s="9"/>
      <c r="F5" s="120"/>
      <c r="G5" s="120"/>
      <c r="H5" s="121"/>
      <c r="I5" s="120"/>
    </row>
    <row r="6" spans="1:10" ht="19.5" customHeight="1" x14ac:dyDescent="0.3">
      <c r="A6" t="s">
        <v>11</v>
      </c>
      <c r="B6" s="1" t="s">
        <v>20</v>
      </c>
      <c r="C6" s="102">
        <v>0</v>
      </c>
      <c r="D6" s="102">
        <v>0</v>
      </c>
      <c r="E6" s="122"/>
      <c r="F6" s="122"/>
      <c r="G6" s="122"/>
      <c r="H6" s="122"/>
      <c r="I6" s="122"/>
    </row>
    <row r="7" spans="1:10" ht="17.25" customHeight="1" x14ac:dyDescent="0.3">
      <c r="A7" t="s">
        <v>7</v>
      </c>
      <c r="B7" s="1" t="s">
        <v>1</v>
      </c>
      <c r="C7" s="101">
        <f>SUM(C17:C18,C22:C24,C27:C29)</f>
        <v>105375</v>
      </c>
      <c r="D7" s="101">
        <v>93675</v>
      </c>
      <c r="E7" s="122"/>
      <c r="F7" s="122"/>
      <c r="G7" s="122"/>
      <c r="H7" s="122"/>
      <c r="I7" s="122"/>
    </row>
    <row r="8" spans="1:10" x14ac:dyDescent="0.3">
      <c r="A8" t="s">
        <v>8</v>
      </c>
      <c r="B8" s="1" t="s">
        <v>19</v>
      </c>
      <c r="C8" s="102">
        <v>1340944</v>
      </c>
      <c r="D8" s="102">
        <v>1274222</v>
      </c>
      <c r="E8" s="122"/>
      <c r="F8" s="122"/>
      <c r="G8" s="122"/>
      <c r="H8" s="122"/>
      <c r="I8" s="122"/>
    </row>
    <row r="9" spans="1:10" s="8" customFormat="1" x14ac:dyDescent="0.3">
      <c r="A9" s="8" t="s">
        <v>9</v>
      </c>
      <c r="B9" s="1" t="s">
        <v>126</v>
      </c>
      <c r="C9" s="102">
        <v>100000</v>
      </c>
      <c r="D9" s="102">
        <v>0</v>
      </c>
      <c r="E9" s="122"/>
      <c r="F9" s="122"/>
      <c r="G9" s="122"/>
      <c r="H9" s="122"/>
      <c r="I9" s="122"/>
      <c r="J9" s="1"/>
    </row>
    <row r="10" spans="1:10" s="8" customFormat="1" x14ac:dyDescent="0.3">
      <c r="A10" s="8" t="s">
        <v>12</v>
      </c>
      <c r="B10" s="1" t="s">
        <v>117</v>
      </c>
      <c r="C10" s="102">
        <v>24000</v>
      </c>
      <c r="D10" s="102">
        <v>24000</v>
      </c>
      <c r="E10" s="122"/>
      <c r="F10" s="122"/>
      <c r="G10" s="122"/>
      <c r="H10" s="122"/>
      <c r="I10" s="122"/>
      <c r="J10" s="1"/>
    </row>
    <row r="11" spans="1:10" ht="19.5" customHeight="1" x14ac:dyDescent="0.3">
      <c r="A11" t="s">
        <v>13</v>
      </c>
      <c r="B11" s="1" t="s">
        <v>2</v>
      </c>
      <c r="C11" s="102">
        <v>0</v>
      </c>
      <c r="D11" s="102">
        <v>0</v>
      </c>
      <c r="E11" s="122"/>
      <c r="F11" s="122"/>
      <c r="G11" s="122"/>
      <c r="H11" s="122"/>
      <c r="I11" s="122"/>
    </row>
    <row r="12" spans="1:10" x14ac:dyDescent="0.3">
      <c r="B12" s="4" t="s">
        <v>5</v>
      </c>
      <c r="C12" s="101">
        <f>SUM(C7:C9)</f>
        <v>1546319</v>
      </c>
      <c r="D12" s="101">
        <f>SUM(D7:D9)</f>
        <v>1367897</v>
      </c>
      <c r="E12" s="122"/>
      <c r="F12" s="122"/>
      <c r="G12" s="122"/>
      <c r="H12" s="122"/>
      <c r="I12" s="122"/>
    </row>
    <row r="13" spans="1:10" ht="18" customHeight="1" x14ac:dyDescent="0.3">
      <c r="C13" s="102"/>
      <c r="D13" s="102"/>
      <c r="E13" s="123"/>
      <c r="F13" s="123"/>
      <c r="G13" s="123"/>
      <c r="H13" s="123"/>
      <c r="I13" s="123"/>
    </row>
    <row r="14" spans="1:10" ht="18" x14ac:dyDescent="0.35">
      <c r="A14" s="2"/>
      <c r="B14" s="11" t="s">
        <v>3</v>
      </c>
      <c r="C14" s="103"/>
      <c r="D14" s="103"/>
    </row>
    <row r="15" spans="1:10" s="8" customFormat="1" ht="15.6" x14ac:dyDescent="0.3">
      <c r="A15" s="2"/>
      <c r="B15" s="3"/>
      <c r="C15" s="103"/>
      <c r="D15" s="103"/>
      <c r="E15" s="33"/>
      <c r="F15" s="33"/>
      <c r="G15" s="33"/>
      <c r="H15" s="33"/>
      <c r="I15" s="33"/>
      <c r="J15" s="1"/>
    </row>
    <row r="16" spans="1:10" s="2" customFormat="1" ht="15.6" x14ac:dyDescent="0.3">
      <c r="B16" s="10" t="s">
        <v>24</v>
      </c>
      <c r="C16" s="103"/>
      <c r="D16" s="103"/>
      <c r="E16" s="117"/>
      <c r="F16" s="117"/>
      <c r="G16" s="124"/>
      <c r="H16" s="124"/>
      <c r="I16" s="117"/>
      <c r="J16" s="3"/>
    </row>
    <row r="17" spans="1:10" x14ac:dyDescent="0.3">
      <c r="A17" t="s">
        <v>11</v>
      </c>
      <c r="B17" s="1" t="s">
        <v>119</v>
      </c>
      <c r="C17" s="104">
        <v>68875</v>
      </c>
      <c r="D17" s="104">
        <v>63500</v>
      </c>
      <c r="E17" s="122"/>
      <c r="F17" s="122"/>
      <c r="G17" s="126"/>
      <c r="H17" s="126"/>
      <c r="I17" s="126"/>
    </row>
    <row r="18" spans="1:10" ht="24.75" customHeight="1" x14ac:dyDescent="0.3">
      <c r="A18" t="s">
        <v>7</v>
      </c>
      <c r="B18" s="1" t="s">
        <v>10</v>
      </c>
      <c r="C18" s="104">
        <v>18000</v>
      </c>
      <c r="D18" s="104">
        <v>18000</v>
      </c>
      <c r="E18" s="122"/>
      <c r="F18" s="122"/>
      <c r="G18" s="126"/>
      <c r="H18" s="126"/>
      <c r="I18" s="126"/>
    </row>
    <row r="19" spans="1:10" s="8" customFormat="1" x14ac:dyDescent="0.3">
      <c r="A19" s="8" t="s">
        <v>8</v>
      </c>
      <c r="B19" s="1" t="s">
        <v>22</v>
      </c>
      <c r="C19" s="102">
        <v>1340944</v>
      </c>
      <c r="D19" s="102">
        <v>1274222</v>
      </c>
      <c r="E19" s="122"/>
      <c r="F19" s="122"/>
      <c r="G19" s="126"/>
      <c r="H19" s="126"/>
      <c r="I19" s="126"/>
      <c r="J19" s="1"/>
    </row>
    <row r="20" spans="1:10" s="8" customFormat="1" x14ac:dyDescent="0.3">
      <c r="A20" s="8" t="s">
        <v>9</v>
      </c>
      <c r="B20" s="1" t="s">
        <v>126</v>
      </c>
      <c r="C20" s="102">
        <v>100000</v>
      </c>
      <c r="D20" s="102">
        <v>0</v>
      </c>
      <c r="E20" s="122"/>
      <c r="F20" s="122"/>
      <c r="G20" s="126"/>
      <c r="H20" s="126"/>
      <c r="I20" s="126"/>
      <c r="J20" s="1"/>
    </row>
    <row r="21" spans="1:10" s="8" customFormat="1" x14ac:dyDescent="0.3">
      <c r="A21" s="8" t="s">
        <v>12</v>
      </c>
      <c r="B21" s="1" t="s">
        <v>117</v>
      </c>
      <c r="C21" s="102">
        <v>24000</v>
      </c>
      <c r="D21" s="102">
        <v>23299.83</v>
      </c>
      <c r="E21" s="122"/>
      <c r="F21" s="122"/>
      <c r="G21" s="126"/>
      <c r="H21" s="126"/>
      <c r="I21" s="126"/>
      <c r="J21" s="1"/>
    </row>
    <row r="22" spans="1:10" s="8" customFormat="1" x14ac:dyDescent="0.3">
      <c r="A22" s="8" t="s">
        <v>13</v>
      </c>
      <c r="B22" s="1" t="s">
        <v>17</v>
      </c>
      <c r="C22" s="105">
        <v>2500</v>
      </c>
      <c r="D22" s="105">
        <v>1925</v>
      </c>
      <c r="E22" s="122"/>
      <c r="F22" s="122"/>
      <c r="G22" s="126"/>
      <c r="H22" s="126"/>
      <c r="I22" s="126"/>
      <c r="J22" s="1"/>
    </row>
    <row r="23" spans="1:10" s="8" customFormat="1" x14ac:dyDescent="0.3">
      <c r="A23" s="8" t="s">
        <v>14</v>
      </c>
      <c r="B23" s="9" t="s">
        <v>18</v>
      </c>
      <c r="C23" s="105">
        <v>0</v>
      </c>
      <c r="D23" s="105">
        <v>1750</v>
      </c>
      <c r="E23" s="122"/>
      <c r="F23" s="122"/>
      <c r="G23" s="126"/>
      <c r="H23" s="126"/>
      <c r="I23" s="126"/>
      <c r="J23" s="1"/>
    </row>
    <row r="24" spans="1:10" s="2" customFormat="1" ht="15.6" x14ac:dyDescent="0.3">
      <c r="A24" t="s">
        <v>15</v>
      </c>
      <c r="B24" s="1" t="s">
        <v>4</v>
      </c>
      <c r="C24" s="104">
        <v>1000</v>
      </c>
      <c r="D24" s="104">
        <v>1000</v>
      </c>
      <c r="E24" s="125"/>
      <c r="F24" s="117"/>
      <c r="G24" s="124"/>
      <c r="H24" s="124"/>
      <c r="I24" s="117"/>
      <c r="J24" s="3"/>
    </row>
    <row r="25" spans="1:10" s="8" customFormat="1" x14ac:dyDescent="0.3">
      <c r="B25" s="9"/>
      <c r="C25" s="105"/>
      <c r="D25" s="105"/>
      <c r="E25" s="122"/>
      <c r="F25" s="122"/>
      <c r="G25" s="126"/>
      <c r="H25" s="126"/>
      <c r="I25" s="126"/>
      <c r="J25" s="1"/>
    </row>
    <row r="26" spans="1:10" s="8" customFormat="1" x14ac:dyDescent="0.3">
      <c r="B26" s="10" t="s">
        <v>23</v>
      </c>
      <c r="C26" s="105"/>
      <c r="D26" s="105"/>
      <c r="E26" s="122"/>
      <c r="F26" s="122"/>
      <c r="G26" s="126"/>
      <c r="H26" s="126"/>
      <c r="I26" s="126"/>
      <c r="J26" s="1"/>
    </row>
    <row r="27" spans="1:10" x14ac:dyDescent="0.3">
      <c r="A27" t="s">
        <v>16</v>
      </c>
      <c r="B27" s="9" t="s">
        <v>21</v>
      </c>
      <c r="C27" s="104">
        <v>5000</v>
      </c>
      <c r="D27" s="104">
        <v>5000</v>
      </c>
      <c r="E27" s="122"/>
      <c r="F27" s="122"/>
      <c r="G27" s="126"/>
      <c r="H27" s="126"/>
      <c r="I27" s="126"/>
    </row>
    <row r="28" spans="1:10" ht="18" customHeight="1" x14ac:dyDescent="0.3">
      <c r="A28" s="8" t="s">
        <v>127</v>
      </c>
      <c r="B28" s="9" t="s">
        <v>130</v>
      </c>
      <c r="C28" s="106">
        <v>10000</v>
      </c>
      <c r="D28" s="106">
        <f>10000-7500</f>
        <v>2500</v>
      </c>
      <c r="E28" s="122"/>
      <c r="F28" s="122"/>
      <c r="G28" s="126"/>
      <c r="H28" s="126"/>
      <c r="I28" s="126"/>
    </row>
    <row r="29" spans="1:10" s="8" customFormat="1" ht="18" customHeight="1" x14ac:dyDescent="0.3">
      <c r="A29" t="s">
        <v>128</v>
      </c>
      <c r="B29" s="1" t="s">
        <v>6</v>
      </c>
      <c r="C29" s="107">
        <v>0</v>
      </c>
      <c r="D29" s="107">
        <v>0</v>
      </c>
      <c r="E29" s="122"/>
      <c r="F29" s="122"/>
      <c r="G29" s="126"/>
      <c r="H29" s="126"/>
      <c r="I29" s="126"/>
      <c r="J29" s="1"/>
    </row>
    <row r="30" spans="1:10" ht="18" customHeight="1" x14ac:dyDescent="0.3">
      <c r="B30" s="5" t="s">
        <v>5</v>
      </c>
      <c r="C30" s="101">
        <f>SUM(C17:C29)</f>
        <v>1570319</v>
      </c>
      <c r="D30" s="101">
        <f>SUM(D17:D29)</f>
        <v>1391196.83</v>
      </c>
      <c r="E30" s="122"/>
      <c r="F30" s="122"/>
      <c r="G30" s="126"/>
      <c r="H30" s="126"/>
      <c r="I30" s="126"/>
    </row>
    <row r="31" spans="1:10" ht="18" customHeight="1" x14ac:dyDescent="0.3">
      <c r="C31" s="108"/>
      <c r="D31" s="108"/>
      <c r="E31" s="122"/>
      <c r="F31" s="122"/>
      <c r="G31" s="126"/>
      <c r="H31" s="126"/>
      <c r="I31" s="126"/>
    </row>
    <row r="32" spans="1:10" s="8" customFormat="1" ht="43.2" x14ac:dyDescent="0.3">
      <c r="B32" s="130" t="s">
        <v>118</v>
      </c>
      <c r="C32" s="171" t="s">
        <v>131</v>
      </c>
      <c r="D32" s="171"/>
      <c r="E32" s="127"/>
      <c r="F32" s="122"/>
      <c r="G32" s="126"/>
      <c r="H32" s="126"/>
      <c r="I32" s="126"/>
      <c r="J32" s="1"/>
    </row>
    <row r="33" spans="2:6" ht="57.6" x14ac:dyDescent="0.3">
      <c r="B33" s="1" t="s">
        <v>120</v>
      </c>
      <c r="C33" s="109"/>
      <c r="D33" s="109"/>
      <c r="F33" s="68"/>
    </row>
    <row r="34" spans="2:6" x14ac:dyDescent="0.3">
      <c r="C34" s="109"/>
      <c r="D34" s="109"/>
      <c r="E34" s="123"/>
    </row>
    <row r="35" spans="2:6" x14ac:dyDescent="0.3">
      <c r="B35" s="4"/>
      <c r="E35" s="123"/>
    </row>
    <row r="49" spans="2:4" ht="15.6" x14ac:dyDescent="0.3">
      <c r="B49" s="3"/>
    </row>
    <row r="52" spans="2:4" x14ac:dyDescent="0.3">
      <c r="C52" s="6"/>
      <c r="D52" s="6"/>
    </row>
    <row r="53" spans="2:4" x14ac:dyDescent="0.3">
      <c r="C53" s="6"/>
      <c r="D53" s="6"/>
    </row>
    <row r="54" spans="2:4" x14ac:dyDescent="0.3">
      <c r="C54" s="6"/>
      <c r="D54" s="6"/>
    </row>
    <row r="55" spans="2:4" x14ac:dyDescent="0.3">
      <c r="C55" s="6"/>
      <c r="D55" s="6"/>
    </row>
    <row r="56" spans="2:4" x14ac:dyDescent="0.3">
      <c r="C56" s="6"/>
      <c r="D56" s="6"/>
    </row>
    <row r="57" spans="2:4" x14ac:dyDescent="0.3">
      <c r="C57" s="6"/>
      <c r="D57" s="6"/>
    </row>
    <row r="58" spans="2:4" x14ac:dyDescent="0.3">
      <c r="C58" s="6"/>
      <c r="D58" s="6"/>
    </row>
    <row r="59" spans="2:4" x14ac:dyDescent="0.3">
      <c r="C59" s="6"/>
      <c r="D59" s="6"/>
    </row>
    <row r="60" spans="2:4" x14ac:dyDescent="0.3">
      <c r="C60" s="6"/>
      <c r="D60" s="6"/>
    </row>
    <row r="61" spans="2:4" x14ac:dyDescent="0.3">
      <c r="C61" s="6"/>
      <c r="D61" s="6"/>
    </row>
    <row r="62" spans="2:4" x14ac:dyDescent="0.3">
      <c r="C62" s="6"/>
      <c r="D62" s="6"/>
    </row>
    <row r="63" spans="2:4" x14ac:dyDescent="0.3">
      <c r="C63" s="6"/>
      <c r="D63" s="6"/>
    </row>
    <row r="64" spans="2:4" x14ac:dyDescent="0.3">
      <c r="C64" s="6"/>
      <c r="D64" s="6"/>
    </row>
    <row r="65" spans="3:4" x14ac:dyDescent="0.3">
      <c r="C65" s="6"/>
      <c r="D65" s="6"/>
    </row>
    <row r="66" spans="3:4" x14ac:dyDescent="0.3">
      <c r="C66" s="6"/>
      <c r="D66" s="6"/>
    </row>
    <row r="67" spans="3:4" x14ac:dyDescent="0.3">
      <c r="C67" s="6"/>
      <c r="D67" s="6"/>
    </row>
    <row r="68" spans="3:4" x14ac:dyDescent="0.3">
      <c r="C68" s="6"/>
      <c r="D68" s="6"/>
    </row>
    <row r="70" spans="3:4" x14ac:dyDescent="0.3">
      <c r="C70" s="6"/>
      <c r="D70" s="6"/>
    </row>
  </sheetData>
  <mergeCells count="1">
    <mergeCell ref="C32:D32"/>
  </mergeCells>
  <phoneticPr fontId="5" type="noConversion"/>
  <printOptions gridLines="1"/>
  <pageMargins left="0.25" right="0.25" top="0.75" bottom="0.75" header="0.3" footer="0.3"/>
  <pageSetup orientation="portrait" r:id="rId1"/>
  <headerFooter>
    <oddHeader xml:space="preserve">&amp;CWPLC Budget 
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90" zoomScaleNormal="90" workbookViewId="0">
      <selection activeCell="C7" sqref="C7"/>
    </sheetView>
  </sheetViews>
  <sheetFormatPr defaultColWidth="9.33203125" defaultRowHeight="14.4" x14ac:dyDescent="0.3"/>
  <cols>
    <col min="1" max="1" width="55.33203125" style="1" customWidth="1"/>
    <col min="2" max="2" width="0" style="8" hidden="1" customWidth="1"/>
    <col min="3" max="3" width="19" style="8" bestFit="1" customWidth="1"/>
    <col min="4" max="4" width="15.33203125" style="8" customWidth="1"/>
    <col min="5" max="5" width="17.33203125" style="8" customWidth="1"/>
    <col min="6" max="6" width="19" style="8" bestFit="1" customWidth="1"/>
    <col min="7" max="7" width="18.33203125" style="8" customWidth="1"/>
    <col min="8" max="8" width="17.6640625" style="8" customWidth="1"/>
    <col min="9" max="9" width="13.44140625" style="8" customWidth="1"/>
    <col min="10" max="16384" width="9.33203125" style="8"/>
  </cols>
  <sheetData>
    <row r="1" spans="1:9" x14ac:dyDescent="0.3">
      <c r="C1" s="54"/>
      <c r="D1" s="58">
        <v>2022</v>
      </c>
      <c r="E1" s="33"/>
      <c r="F1" s="33"/>
    </row>
    <row r="2" spans="1:9" ht="15" thickBot="1" x14ac:dyDescent="0.35">
      <c r="B2" s="14"/>
      <c r="C2" s="65"/>
      <c r="D2" s="60">
        <v>2021</v>
      </c>
      <c r="E2" s="33"/>
      <c r="F2" s="33"/>
    </row>
    <row r="3" spans="1:9" x14ac:dyDescent="0.3">
      <c r="B3" s="14"/>
      <c r="C3" s="66"/>
      <c r="D3" s="33"/>
      <c r="E3" s="33"/>
    </row>
    <row r="5" spans="1:9" x14ac:dyDescent="0.3">
      <c r="C5" s="92">
        <v>2022</v>
      </c>
      <c r="D5" s="92">
        <v>2022</v>
      </c>
      <c r="E5" s="92">
        <v>2022</v>
      </c>
      <c r="F5" s="92">
        <v>2021</v>
      </c>
      <c r="G5" s="92">
        <v>2021</v>
      </c>
      <c r="H5" s="92">
        <v>2021</v>
      </c>
      <c r="I5" s="14" t="s">
        <v>27</v>
      </c>
    </row>
    <row r="6" spans="1:9" x14ac:dyDescent="0.3">
      <c r="A6" s="24" t="s">
        <v>50</v>
      </c>
      <c r="B6" s="91"/>
      <c r="C6" s="76" t="s">
        <v>88</v>
      </c>
      <c r="D6" s="14" t="s">
        <v>89</v>
      </c>
      <c r="E6" s="14" t="s">
        <v>87</v>
      </c>
      <c r="F6" s="76" t="s">
        <v>88</v>
      </c>
      <c r="G6" s="14" t="s">
        <v>89</v>
      </c>
      <c r="H6" s="14" t="s">
        <v>87</v>
      </c>
      <c r="I6" s="90" t="s">
        <v>86</v>
      </c>
    </row>
    <row r="7" spans="1:9" x14ac:dyDescent="0.3">
      <c r="A7" s="27" t="s">
        <v>58</v>
      </c>
      <c r="B7" s="89"/>
      <c r="C7" s="97">
        <f>'Buying pool summary'!K7</f>
        <v>27350.751878782783</v>
      </c>
      <c r="D7" s="94">
        <f>'Member shares'!B6</f>
        <v>6586</v>
      </c>
      <c r="E7" s="94">
        <f t="shared" ref="E7:E22" si="0">SUM(C7:D7)</f>
        <v>33936.751878782787</v>
      </c>
      <c r="F7" s="64">
        <f>'Buying pool summary'!L7</f>
        <v>29761.928730837059</v>
      </c>
      <c r="G7" s="19">
        <f>'Member shares'!C6</f>
        <v>5855</v>
      </c>
      <c r="H7" s="19">
        <f t="shared" ref="H7:H22" si="1">SUM(F7:G7)</f>
        <v>35616.928730837055</v>
      </c>
      <c r="I7" s="18">
        <f t="shared" ref="I7:I22" si="2">E7-H7</f>
        <v>-1680.1768520542682</v>
      </c>
    </row>
    <row r="8" spans="1:9" x14ac:dyDescent="0.3">
      <c r="A8" s="30" t="s">
        <v>59</v>
      </c>
      <c r="B8" s="89">
        <v>25542</v>
      </c>
      <c r="C8" s="97">
        <f>'Buying pool summary'!K8</f>
        <v>135337.73874952793</v>
      </c>
      <c r="D8" s="94">
        <f>'Member shares'!B7</f>
        <v>6586</v>
      </c>
      <c r="E8" s="94">
        <f t="shared" si="0"/>
        <v>141923.73874952793</v>
      </c>
      <c r="F8" s="64">
        <f>'Buying pool summary'!L8</f>
        <v>120297.37286937873</v>
      </c>
      <c r="G8" s="19">
        <f>'Member shares'!C7</f>
        <v>5855</v>
      </c>
      <c r="H8" s="19">
        <f t="shared" si="1"/>
        <v>126152.37286937873</v>
      </c>
      <c r="I8" s="18">
        <f t="shared" si="2"/>
        <v>15771.365880149198</v>
      </c>
    </row>
    <row r="9" spans="1:9" x14ac:dyDescent="0.3">
      <c r="A9" s="27" t="s">
        <v>104</v>
      </c>
      <c r="B9" s="89"/>
      <c r="C9" s="97">
        <f>'Buying pool summary'!K9</f>
        <v>122310.0509292764</v>
      </c>
      <c r="D9" s="94">
        <f>'Member shares'!B8</f>
        <v>6586</v>
      </c>
      <c r="E9" s="94">
        <f t="shared" si="0"/>
        <v>128896.0509292764</v>
      </c>
      <c r="F9" s="64">
        <f>'Buying pool summary'!L9</f>
        <v>113164.55158410069</v>
      </c>
      <c r="G9" s="19">
        <f>'Member shares'!C8</f>
        <v>5855</v>
      </c>
      <c r="H9" s="19">
        <f t="shared" si="1"/>
        <v>119019.55158410069</v>
      </c>
      <c r="I9" s="18">
        <f t="shared" si="2"/>
        <v>9876.4993451757182</v>
      </c>
    </row>
    <row r="10" spans="1:9" x14ac:dyDescent="0.3">
      <c r="A10" s="30" t="s">
        <v>60</v>
      </c>
      <c r="B10" s="89"/>
      <c r="C10" s="97">
        <f>'Buying pool summary'!K10</f>
        <v>29926.973723724972</v>
      </c>
      <c r="D10" s="94">
        <f>'Member shares'!B9</f>
        <v>6586</v>
      </c>
      <c r="E10" s="94">
        <f t="shared" si="0"/>
        <v>36512.973723724972</v>
      </c>
      <c r="F10" s="64">
        <f>'Buying pool summary'!L10</f>
        <v>29865.01234838424</v>
      </c>
      <c r="G10" s="19">
        <f>'Member shares'!C9</f>
        <v>5855</v>
      </c>
      <c r="H10" s="19">
        <f t="shared" si="1"/>
        <v>35720.01234838424</v>
      </c>
      <c r="I10" s="18">
        <f t="shared" si="2"/>
        <v>792.96137534073205</v>
      </c>
    </row>
    <row r="11" spans="1:9" x14ac:dyDescent="0.3">
      <c r="A11" s="30" t="s">
        <v>61</v>
      </c>
      <c r="B11" s="89"/>
      <c r="C11" s="97">
        <f>'Buying pool summary'!K11</f>
        <v>51954.098316213378</v>
      </c>
      <c r="D11" s="94">
        <f>'Member shares'!B10</f>
        <v>6586</v>
      </c>
      <c r="E11" s="94">
        <f t="shared" si="0"/>
        <v>58540.098316213378</v>
      </c>
      <c r="F11" s="64">
        <f>'Buying pool summary'!L11</f>
        <v>50459.589217158733</v>
      </c>
      <c r="G11" s="19">
        <f>'Member shares'!C10</f>
        <v>5855</v>
      </c>
      <c r="H11" s="19">
        <f t="shared" si="1"/>
        <v>56314.589217158733</v>
      </c>
      <c r="I11" s="18">
        <f t="shared" si="2"/>
        <v>2225.509099054645</v>
      </c>
    </row>
    <row r="12" spans="1:9" x14ac:dyDescent="0.3">
      <c r="A12" s="30" t="s">
        <v>62</v>
      </c>
      <c r="B12" s="89"/>
      <c r="C12" s="97">
        <f>'Buying pool summary'!K12</f>
        <v>19296.961310976523</v>
      </c>
      <c r="D12" s="94">
        <f>'Member shares'!B11</f>
        <v>6586</v>
      </c>
      <c r="E12" s="94">
        <f t="shared" si="0"/>
        <v>25882.961310976523</v>
      </c>
      <c r="F12" s="64">
        <f>'Buying pool summary'!L12</f>
        <v>19031.57275514707</v>
      </c>
      <c r="G12" s="19">
        <f>'Member shares'!C11</f>
        <v>5855</v>
      </c>
      <c r="H12" s="19">
        <f t="shared" si="1"/>
        <v>24886.57275514707</v>
      </c>
      <c r="I12" s="18">
        <f t="shared" si="2"/>
        <v>996.38855582945325</v>
      </c>
    </row>
    <row r="13" spans="1:9" x14ac:dyDescent="0.3">
      <c r="A13" s="30" t="s">
        <v>63</v>
      </c>
      <c r="B13" s="89"/>
      <c r="C13" s="97">
        <f>'Buying pool summary'!K13</f>
        <v>147215.37822912063</v>
      </c>
      <c r="D13" s="94">
        <f>'Member shares'!B12</f>
        <v>6586</v>
      </c>
      <c r="E13" s="94">
        <f t="shared" si="0"/>
        <v>153801.37822912063</v>
      </c>
      <c r="F13" s="64">
        <f>'Buying pool summary'!L13</f>
        <v>140189.66396839559</v>
      </c>
      <c r="G13" s="19">
        <f>'Member shares'!C12</f>
        <v>5855</v>
      </c>
      <c r="H13" s="19">
        <f t="shared" si="1"/>
        <v>146044.66396839559</v>
      </c>
      <c r="I13" s="18">
        <f t="shared" si="2"/>
        <v>7756.7142607250425</v>
      </c>
    </row>
    <row r="14" spans="1:9" x14ac:dyDescent="0.3">
      <c r="A14" s="27" t="s">
        <v>64</v>
      </c>
      <c r="B14" s="89"/>
      <c r="C14" s="97">
        <f>'Buying pool summary'!K14</f>
        <v>95878.433895062859</v>
      </c>
      <c r="D14" s="94">
        <f>'Member shares'!B13</f>
        <v>6586</v>
      </c>
      <c r="E14" s="94">
        <f t="shared" si="0"/>
        <v>102464.43389506286</v>
      </c>
      <c r="F14" s="64">
        <f>'Buying pool summary'!L14</f>
        <v>92306.429623973119</v>
      </c>
      <c r="G14" s="19">
        <f>'Member shares'!C13</f>
        <v>5855</v>
      </c>
      <c r="H14" s="19">
        <f t="shared" si="1"/>
        <v>98161.429623973119</v>
      </c>
      <c r="I14" s="18">
        <f t="shared" si="2"/>
        <v>4303.0042710897396</v>
      </c>
    </row>
    <row r="15" spans="1:9" x14ac:dyDescent="0.3">
      <c r="A15" s="30" t="s">
        <v>85</v>
      </c>
      <c r="B15" s="89" t="e">
        <f>SUM(#REF!)</f>
        <v>#REF!</v>
      </c>
      <c r="C15" s="97">
        <f>'Buying pool summary'!K15</f>
        <v>93911.700154904422</v>
      </c>
      <c r="D15" s="94">
        <f>'Member shares'!B14</f>
        <v>6586</v>
      </c>
      <c r="E15" s="94">
        <f t="shared" si="0"/>
        <v>100497.70015490442</v>
      </c>
      <c r="F15" s="64">
        <f>'Buying pool summary'!L15</f>
        <v>87677.940410286683</v>
      </c>
      <c r="G15" s="19">
        <f>'Member shares'!C14</f>
        <v>5855</v>
      </c>
      <c r="H15" s="19">
        <f t="shared" si="1"/>
        <v>93532.940410286683</v>
      </c>
      <c r="I15" s="18">
        <f t="shared" si="2"/>
        <v>6964.7597446177388</v>
      </c>
    </row>
    <row r="16" spans="1:9" x14ac:dyDescent="0.3">
      <c r="A16" s="30" t="s">
        <v>66</v>
      </c>
      <c r="B16" s="89"/>
      <c r="C16" s="97">
        <f>'Buying pool summary'!K16</f>
        <v>42323.479185854063</v>
      </c>
      <c r="D16" s="94">
        <f>'Member shares'!B15</f>
        <v>6586</v>
      </c>
      <c r="E16" s="94">
        <f t="shared" si="0"/>
        <v>48909.479185854063</v>
      </c>
      <c r="F16" s="64">
        <f>'Buying pool summary'!L16</f>
        <v>40223.653007198765</v>
      </c>
      <c r="G16" s="19">
        <f>'Member shares'!C15</f>
        <v>5855</v>
      </c>
      <c r="H16" s="19">
        <f t="shared" si="1"/>
        <v>46078.653007198765</v>
      </c>
      <c r="I16" s="18">
        <f t="shared" si="2"/>
        <v>2830.8261786552976</v>
      </c>
    </row>
    <row r="17" spans="1:9" x14ac:dyDescent="0.3">
      <c r="A17" s="30" t="s">
        <v>84</v>
      </c>
      <c r="B17" s="89"/>
      <c r="C17" s="97">
        <f>'Buying pool summary'!K17</f>
        <v>54468.68259594198</v>
      </c>
      <c r="D17" s="94">
        <f>'Member shares'!B16</f>
        <v>6586</v>
      </c>
      <c r="E17" s="94">
        <f t="shared" si="0"/>
        <v>61054.68259594198</v>
      </c>
      <c r="F17" s="64">
        <f>'Buying pool summary'!L17</f>
        <v>55521.675963960348</v>
      </c>
      <c r="G17" s="19">
        <f>'Member shares'!C16</f>
        <v>5855</v>
      </c>
      <c r="H17" s="19">
        <f t="shared" si="1"/>
        <v>61376.675963960348</v>
      </c>
      <c r="I17" s="18">
        <f t="shared" si="2"/>
        <v>-321.99336801836762</v>
      </c>
    </row>
    <row r="18" spans="1:9" x14ac:dyDescent="0.3">
      <c r="A18" s="30" t="s">
        <v>68</v>
      </c>
      <c r="B18" s="89"/>
      <c r="C18" s="97">
        <f>'Buying pool summary'!K18</f>
        <v>288430.92688579904</v>
      </c>
      <c r="D18" s="94">
        <f>'Member shares'!B17</f>
        <v>6586</v>
      </c>
      <c r="E18" s="94">
        <f t="shared" si="0"/>
        <v>295016.92688579904</v>
      </c>
      <c r="F18" s="64">
        <f>'Buying pool summary'!L18</f>
        <v>274348.43095159647</v>
      </c>
      <c r="G18" s="19">
        <f>'Member shares'!C17</f>
        <v>5855</v>
      </c>
      <c r="H18" s="19">
        <f t="shared" si="1"/>
        <v>280203.43095159647</v>
      </c>
      <c r="I18" s="18">
        <f t="shared" si="2"/>
        <v>14813.495934202569</v>
      </c>
    </row>
    <row r="19" spans="1:9" x14ac:dyDescent="0.3">
      <c r="A19" s="30" t="s">
        <v>69</v>
      </c>
      <c r="B19" s="89"/>
      <c r="C19" s="97">
        <f>'Buying pool summary'!K19</f>
        <v>27061.75800225222</v>
      </c>
      <c r="D19" s="94">
        <f>'Member shares'!B18</f>
        <v>6586</v>
      </c>
      <c r="E19" s="94">
        <f t="shared" si="0"/>
        <v>33647.758002252216</v>
      </c>
      <c r="F19" s="64">
        <f>'Buying pool summary'!L19</f>
        <v>27648.950494987483</v>
      </c>
      <c r="G19" s="19">
        <f>'Member shares'!C18</f>
        <v>5855</v>
      </c>
      <c r="H19" s="19">
        <f t="shared" si="1"/>
        <v>33503.950494987483</v>
      </c>
      <c r="I19" s="18">
        <f t="shared" si="2"/>
        <v>143.80750726473343</v>
      </c>
    </row>
    <row r="20" spans="1:9" x14ac:dyDescent="0.3">
      <c r="A20" s="30" t="s">
        <v>70</v>
      </c>
      <c r="B20" s="89"/>
      <c r="C20" s="97">
        <f>'Buying pool summary'!K20</f>
        <v>64858.990192979429</v>
      </c>
      <c r="D20" s="94">
        <f>'Member shares'!B19</f>
        <v>6586</v>
      </c>
      <c r="E20" s="94">
        <f t="shared" si="0"/>
        <v>71444.990192979429</v>
      </c>
      <c r="F20" s="64">
        <f>'Buying pool summary'!L20</f>
        <v>63883.504270406564</v>
      </c>
      <c r="G20" s="19">
        <f>'Member shares'!C19</f>
        <v>5855</v>
      </c>
      <c r="H20" s="19">
        <f t="shared" si="1"/>
        <v>69738.504270406556</v>
      </c>
      <c r="I20" s="18">
        <f t="shared" si="2"/>
        <v>1706.4859225728724</v>
      </c>
    </row>
    <row r="21" spans="1:9" x14ac:dyDescent="0.3">
      <c r="A21" s="30" t="s">
        <v>71</v>
      </c>
      <c r="B21" s="89"/>
      <c r="C21" s="97">
        <f>'Buying pool summary'!K21</f>
        <v>79132.850077864336</v>
      </c>
      <c r="D21" s="94">
        <f>'Member shares'!B20</f>
        <v>6586</v>
      </c>
      <c r="E21" s="94">
        <f t="shared" si="0"/>
        <v>85718.850077864336</v>
      </c>
      <c r="F21" s="64">
        <f>'Buying pool summary'!L21</f>
        <v>67985.579803890549</v>
      </c>
      <c r="G21" s="19">
        <f>'Member shares'!C20</f>
        <v>5855</v>
      </c>
      <c r="H21" s="19">
        <f t="shared" si="1"/>
        <v>73840.579803890549</v>
      </c>
      <c r="I21" s="18">
        <f t="shared" si="2"/>
        <v>11878.270273973787</v>
      </c>
    </row>
    <row r="22" spans="1:9" ht="16.5" customHeight="1" x14ac:dyDescent="0.3">
      <c r="A22" s="32" t="s">
        <v>83</v>
      </c>
      <c r="B22" s="88" t="e">
        <f>SUM(#REF!)</f>
        <v>#REF!</v>
      </c>
      <c r="C22" s="97">
        <f>'Buying pool summary'!K22</f>
        <v>61485.225871719056</v>
      </c>
      <c r="D22" s="94">
        <f>'Member shares'!B21</f>
        <v>6586</v>
      </c>
      <c r="E22" s="94">
        <f t="shared" si="0"/>
        <v>68071.225871719056</v>
      </c>
      <c r="F22" s="64">
        <f>'Buying pool summary'!L22</f>
        <v>61856.144000297892</v>
      </c>
      <c r="G22" s="19">
        <f>'Member shares'!C21</f>
        <v>5855</v>
      </c>
      <c r="H22" s="19">
        <f t="shared" si="1"/>
        <v>67711.144000297892</v>
      </c>
      <c r="I22" s="18">
        <f t="shared" si="2"/>
        <v>360.08187142116367</v>
      </c>
    </row>
    <row r="23" spans="1:9" x14ac:dyDescent="0.3">
      <c r="C23" s="87">
        <f t="shared" ref="C23:H23" si="3">SUM(C7:C22)</f>
        <v>1340943.9999999998</v>
      </c>
      <c r="D23" s="18">
        <f t="shared" si="3"/>
        <v>105376</v>
      </c>
      <c r="E23" s="18">
        <f t="shared" si="3"/>
        <v>1446319.9999999998</v>
      </c>
      <c r="F23" s="87">
        <f t="shared" si="3"/>
        <v>1274222</v>
      </c>
      <c r="G23" s="18">
        <f t="shared" si="3"/>
        <v>93680</v>
      </c>
      <c r="H23" s="18">
        <f t="shared" si="3"/>
        <v>1367902</v>
      </c>
      <c r="I23" s="18"/>
    </row>
  </sheetData>
  <sheetProtection algorithmName="SHA-512" hashValue="OYc1D4NZwFfFNjKXuhuhj28hFJNwsGYHzLAk64wNxAUQHssz4/ETDNMJ0RXe68W36vDkHrjualwZfNZJk73q2w==" saltValue="AjZ/VNS+Y1fVVvpNnFeWOg==" spinCount="100000" sheet="1" objects="1" scenarios="1"/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C31" sqref="C31"/>
    </sheetView>
  </sheetViews>
  <sheetFormatPr defaultRowHeight="14.4" x14ac:dyDescent="0.3"/>
  <cols>
    <col min="1" max="1" width="34.6640625" style="152" bestFit="1" customWidth="1"/>
    <col min="2" max="2" width="6" style="152" hidden="1" customWidth="1"/>
    <col min="3" max="3" width="11" style="152" bestFit="1" customWidth="1"/>
    <col min="4" max="4" width="14.5546875" style="152" bestFit="1" customWidth="1"/>
    <col min="5" max="5" width="14.5546875" style="152" customWidth="1"/>
    <col min="6" max="7" width="11" style="152" bestFit="1" customWidth="1"/>
    <col min="8" max="8" width="14.5546875" style="152" bestFit="1" customWidth="1"/>
    <col min="9" max="9" width="14.5546875" style="152" customWidth="1"/>
    <col min="10" max="10" width="11" style="152" bestFit="1" customWidth="1"/>
    <col min="11" max="11" width="9.6640625" style="152" bestFit="1" customWidth="1"/>
    <col min="12" max="16384" width="8.88671875" style="152"/>
  </cols>
  <sheetData>
    <row r="1" spans="1:11" x14ac:dyDescent="0.3">
      <c r="A1" s="176" t="s">
        <v>129</v>
      </c>
      <c r="B1" s="153"/>
      <c r="C1" s="173"/>
      <c r="D1" s="178">
        <v>2022</v>
      </c>
      <c r="E1" s="154"/>
      <c r="F1" s="154"/>
      <c r="G1" s="154"/>
    </row>
    <row r="2" spans="1:11" ht="15" thickBot="1" x14ac:dyDescent="0.35">
      <c r="A2" s="177"/>
      <c r="B2" s="174"/>
      <c r="C2" s="175"/>
      <c r="D2" s="179">
        <v>2021</v>
      </c>
      <c r="E2" s="154"/>
      <c r="F2" s="154"/>
      <c r="G2" s="154"/>
    </row>
    <row r="3" spans="1:11" x14ac:dyDescent="0.3">
      <c r="B3" s="155"/>
      <c r="C3" s="156"/>
      <c r="D3" s="154"/>
      <c r="E3" s="154"/>
      <c r="F3" s="154"/>
    </row>
    <row r="5" spans="1:11" x14ac:dyDescent="0.3">
      <c r="C5" s="92">
        <v>2022</v>
      </c>
      <c r="D5" s="92">
        <v>2022</v>
      </c>
      <c r="E5" s="92">
        <v>2022</v>
      </c>
      <c r="F5" s="92">
        <v>2022</v>
      </c>
      <c r="G5" s="92">
        <v>2021</v>
      </c>
      <c r="H5" s="92">
        <v>2021</v>
      </c>
      <c r="I5" s="92">
        <v>2021</v>
      </c>
      <c r="J5" s="92">
        <v>2021</v>
      </c>
      <c r="K5" s="155" t="s">
        <v>27</v>
      </c>
    </row>
    <row r="6" spans="1:11" x14ac:dyDescent="0.3">
      <c r="A6" s="157" t="s">
        <v>50</v>
      </c>
      <c r="B6" s="158"/>
      <c r="C6" s="159" t="s">
        <v>88</v>
      </c>
      <c r="D6" s="155" t="s">
        <v>89</v>
      </c>
      <c r="E6" s="155" t="s">
        <v>125</v>
      </c>
      <c r="F6" s="155" t="s">
        <v>87</v>
      </c>
      <c r="G6" s="159" t="s">
        <v>88</v>
      </c>
      <c r="H6" s="155" t="s">
        <v>89</v>
      </c>
      <c r="I6" s="155" t="s">
        <v>125</v>
      </c>
      <c r="J6" s="155" t="s">
        <v>87</v>
      </c>
      <c r="K6" s="160" t="s">
        <v>86</v>
      </c>
    </row>
    <row r="7" spans="1:11" x14ac:dyDescent="0.3">
      <c r="A7" s="161" t="s">
        <v>58</v>
      </c>
      <c r="B7" s="161"/>
      <c r="C7" s="162">
        <f>'Buying pool summary'!K7</f>
        <v>27350.751878782783</v>
      </c>
      <c r="D7" s="163">
        <f>'Member shares'!B6</f>
        <v>6586</v>
      </c>
      <c r="E7" s="163">
        <f>'Magazine Costs'!G6</f>
        <v>2080.377124640554</v>
      </c>
      <c r="F7" s="163">
        <f>SUM(C7:E7)</f>
        <v>36017.129003423339</v>
      </c>
      <c r="G7" s="164">
        <f>'Buying pool summary'!L7</f>
        <v>29761.928730837059</v>
      </c>
      <c r="H7" s="165">
        <f>'Member shares'!C6</f>
        <v>5855</v>
      </c>
      <c r="I7" s="165">
        <v>0</v>
      </c>
      <c r="J7" s="165">
        <f>SUM(G7:I7)</f>
        <v>35616.928730837055</v>
      </c>
      <c r="K7" s="166">
        <f t="shared" ref="K7:K22" si="0">F7-J7</f>
        <v>400.20027258628397</v>
      </c>
    </row>
    <row r="8" spans="1:11" x14ac:dyDescent="0.3">
      <c r="A8" s="167" t="s">
        <v>59</v>
      </c>
      <c r="B8" s="161">
        <v>25542</v>
      </c>
      <c r="C8" s="162">
        <f>'Buying pool summary'!K8</f>
        <v>135337.73874952793</v>
      </c>
      <c r="D8" s="163">
        <f>'Member shares'!B7</f>
        <v>6586</v>
      </c>
      <c r="E8" s="163">
        <f>'Magazine Costs'!G7</f>
        <v>9994.2107858530908</v>
      </c>
      <c r="F8" s="163">
        <f t="shared" ref="F8:F22" si="1">SUM(C8:E8)</f>
        <v>151917.94953538102</v>
      </c>
      <c r="G8" s="164">
        <f>'Buying pool summary'!L8</f>
        <v>120297.37286937873</v>
      </c>
      <c r="H8" s="165">
        <f>'Member shares'!C7</f>
        <v>5855</v>
      </c>
      <c r="I8" s="165">
        <v>0</v>
      </c>
      <c r="J8" s="165">
        <f t="shared" ref="J8:J22" si="2">SUM(G8:I8)</f>
        <v>126152.37286937873</v>
      </c>
      <c r="K8" s="166">
        <f t="shared" si="0"/>
        <v>25765.576666002293</v>
      </c>
    </row>
    <row r="9" spans="1:11" x14ac:dyDescent="0.3">
      <c r="A9" s="161" t="s">
        <v>104</v>
      </c>
      <c r="B9" s="161"/>
      <c r="C9" s="162">
        <f>'Buying pool summary'!K9</f>
        <v>122310.0509292764</v>
      </c>
      <c r="D9" s="163">
        <f>'Member shares'!B8</f>
        <v>6586</v>
      </c>
      <c r="E9" s="163">
        <f>'Magazine Costs'!G8</f>
        <v>9144.9337599017108</v>
      </c>
      <c r="F9" s="163">
        <f t="shared" si="1"/>
        <v>138040.98468917812</v>
      </c>
      <c r="G9" s="164">
        <f>'Buying pool summary'!L9</f>
        <v>113164.55158410069</v>
      </c>
      <c r="H9" s="165">
        <f>'Member shares'!C8</f>
        <v>5855</v>
      </c>
      <c r="I9" s="165">
        <v>0</v>
      </c>
      <c r="J9" s="165">
        <f t="shared" si="2"/>
        <v>119019.55158410069</v>
      </c>
      <c r="K9" s="166">
        <f t="shared" si="0"/>
        <v>19021.433105077434</v>
      </c>
    </row>
    <row r="10" spans="1:11" x14ac:dyDescent="0.3">
      <c r="A10" s="167" t="s">
        <v>60</v>
      </c>
      <c r="B10" s="161"/>
      <c r="C10" s="162">
        <f>'Buying pool summary'!K10</f>
        <v>29926.973723724972</v>
      </c>
      <c r="D10" s="163">
        <f>'Member shares'!B9</f>
        <v>6586</v>
      </c>
      <c r="E10" s="163">
        <f>'Magazine Costs'!G9</f>
        <v>2257.5508136483109</v>
      </c>
      <c r="F10" s="163">
        <f t="shared" si="1"/>
        <v>38770.524537373283</v>
      </c>
      <c r="G10" s="164">
        <f>'Buying pool summary'!L10</f>
        <v>29865.01234838424</v>
      </c>
      <c r="H10" s="165">
        <f>'Member shares'!C9</f>
        <v>5855</v>
      </c>
      <c r="I10" s="165">
        <v>0</v>
      </c>
      <c r="J10" s="165">
        <f t="shared" si="2"/>
        <v>35720.01234838424</v>
      </c>
      <c r="K10" s="166">
        <f t="shared" si="0"/>
        <v>3050.5121889890434</v>
      </c>
    </row>
    <row r="11" spans="1:11" x14ac:dyDescent="0.3">
      <c r="A11" s="167" t="s">
        <v>61</v>
      </c>
      <c r="B11" s="161"/>
      <c r="C11" s="162">
        <f>'Buying pool summary'!K11</f>
        <v>51954.098316213378</v>
      </c>
      <c r="D11" s="163">
        <f>'Member shares'!B10</f>
        <v>6586</v>
      </c>
      <c r="E11" s="163">
        <f>'Magazine Costs'!G10</f>
        <v>3918.844758086072</v>
      </c>
      <c r="F11" s="163">
        <f t="shared" si="1"/>
        <v>62458.943074299452</v>
      </c>
      <c r="G11" s="164">
        <f>'Buying pool summary'!L11</f>
        <v>50459.589217158733</v>
      </c>
      <c r="H11" s="165">
        <f>'Member shares'!C10</f>
        <v>5855</v>
      </c>
      <c r="I11" s="165">
        <v>0</v>
      </c>
      <c r="J11" s="165">
        <f t="shared" si="2"/>
        <v>56314.589217158733</v>
      </c>
      <c r="K11" s="166">
        <f t="shared" si="0"/>
        <v>6144.3538571407189</v>
      </c>
    </row>
    <row r="12" spans="1:11" x14ac:dyDescent="0.3">
      <c r="A12" s="167" t="s">
        <v>62</v>
      </c>
      <c r="B12" s="161"/>
      <c r="C12" s="162">
        <f>'Buying pool summary'!K12</f>
        <v>19296.961310976523</v>
      </c>
      <c r="D12" s="163">
        <f>'Member shares'!B11</f>
        <v>6586</v>
      </c>
      <c r="E12" s="163">
        <f>'Magazine Costs'!G11</f>
        <v>1469.1338806482311</v>
      </c>
      <c r="F12" s="163">
        <f t="shared" si="1"/>
        <v>27352.095191624754</v>
      </c>
      <c r="G12" s="164">
        <f>'Buying pool summary'!L12</f>
        <v>19031.57275514707</v>
      </c>
      <c r="H12" s="165">
        <f>'Member shares'!C11</f>
        <v>5855</v>
      </c>
      <c r="I12" s="165">
        <v>0</v>
      </c>
      <c r="J12" s="165">
        <f t="shared" si="2"/>
        <v>24886.57275514707</v>
      </c>
      <c r="K12" s="166">
        <f t="shared" si="0"/>
        <v>2465.5224364776841</v>
      </c>
    </row>
    <row r="13" spans="1:11" x14ac:dyDescent="0.3">
      <c r="A13" s="167" t="s">
        <v>63</v>
      </c>
      <c r="B13" s="161"/>
      <c r="C13" s="162">
        <f>'Buying pool summary'!K13</f>
        <v>147215.37822912063</v>
      </c>
      <c r="D13" s="163">
        <f>'Member shares'!B12</f>
        <v>6586</v>
      </c>
      <c r="E13" s="163">
        <f>'Magazine Costs'!G12</f>
        <v>11083.52861967864</v>
      </c>
      <c r="F13" s="163">
        <f t="shared" si="1"/>
        <v>164884.90684879926</v>
      </c>
      <c r="G13" s="164">
        <f>'Buying pool summary'!L13</f>
        <v>140189.66396839559</v>
      </c>
      <c r="H13" s="165">
        <f>'Member shares'!C12</f>
        <v>5855</v>
      </c>
      <c r="I13" s="165">
        <v>0</v>
      </c>
      <c r="J13" s="165">
        <f t="shared" si="2"/>
        <v>146044.66396839559</v>
      </c>
      <c r="K13" s="166">
        <f t="shared" si="0"/>
        <v>18840.242880403675</v>
      </c>
    </row>
    <row r="14" spans="1:11" x14ac:dyDescent="0.3">
      <c r="A14" s="161" t="s">
        <v>64</v>
      </c>
      <c r="B14" s="161"/>
      <c r="C14" s="162">
        <f>'Buying pool summary'!K14</f>
        <v>95878.433895062859</v>
      </c>
      <c r="D14" s="163">
        <f>'Member shares'!B13</f>
        <v>6586</v>
      </c>
      <c r="E14" s="163">
        <f>'Magazine Costs'!G13</f>
        <v>7169.1077972227531</v>
      </c>
      <c r="F14" s="163">
        <f t="shared" si="1"/>
        <v>109633.54169228561</v>
      </c>
      <c r="G14" s="164">
        <f>'Buying pool summary'!L14</f>
        <v>92306.429623973119</v>
      </c>
      <c r="H14" s="165">
        <f>'Member shares'!C13</f>
        <v>5855</v>
      </c>
      <c r="I14" s="165">
        <v>0</v>
      </c>
      <c r="J14" s="165">
        <f t="shared" si="2"/>
        <v>98161.429623973119</v>
      </c>
      <c r="K14" s="166">
        <f t="shared" si="0"/>
        <v>11472.11206831249</v>
      </c>
    </row>
    <row r="15" spans="1:11" x14ac:dyDescent="0.3">
      <c r="A15" s="167" t="s">
        <v>85</v>
      </c>
      <c r="B15" s="161" t="e">
        <f>SUM(#REF!)</f>
        <v>#REF!</v>
      </c>
      <c r="C15" s="162">
        <f>'Buying pool summary'!K15</f>
        <v>93911.700154904422</v>
      </c>
      <c r="D15" s="163">
        <f>'Member shares'!B14</f>
        <v>6586</v>
      </c>
      <c r="E15" s="163">
        <f>'Magazine Costs'!G14</f>
        <v>7042.7922360753582</v>
      </c>
      <c r="F15" s="163">
        <f t="shared" si="1"/>
        <v>107540.49239097978</v>
      </c>
      <c r="G15" s="164">
        <f>'Buying pool summary'!L15</f>
        <v>87677.940410286683</v>
      </c>
      <c r="H15" s="165">
        <f>'Member shares'!C14</f>
        <v>5855</v>
      </c>
      <c r="I15" s="165">
        <v>0</v>
      </c>
      <c r="J15" s="165">
        <f t="shared" si="2"/>
        <v>93532.940410286683</v>
      </c>
      <c r="K15" s="166">
        <f t="shared" si="0"/>
        <v>14007.551980693097</v>
      </c>
    </row>
    <row r="16" spans="1:11" x14ac:dyDescent="0.3">
      <c r="A16" s="167" t="s">
        <v>66</v>
      </c>
      <c r="B16" s="161"/>
      <c r="C16" s="162">
        <f>'Buying pool summary'!K16</f>
        <v>42323.479185854063</v>
      </c>
      <c r="D16" s="163">
        <f>'Member shares'!B15</f>
        <v>6586</v>
      </c>
      <c r="E16" s="163">
        <f>'Magazine Costs'!G15</f>
        <v>3176.5246747769816</v>
      </c>
      <c r="F16" s="163">
        <f t="shared" si="1"/>
        <v>52086.003860631041</v>
      </c>
      <c r="G16" s="164">
        <f>'Buying pool summary'!L16</f>
        <v>40223.653007198765</v>
      </c>
      <c r="H16" s="165">
        <f>'Member shares'!C15</f>
        <v>5855</v>
      </c>
      <c r="I16" s="165">
        <v>0</v>
      </c>
      <c r="J16" s="165">
        <f t="shared" si="2"/>
        <v>46078.653007198765</v>
      </c>
      <c r="K16" s="166">
        <f t="shared" si="0"/>
        <v>6007.3508534322755</v>
      </c>
    </row>
    <row r="17" spans="1:11" x14ac:dyDescent="0.3">
      <c r="A17" s="167" t="s">
        <v>84</v>
      </c>
      <c r="B17" s="161"/>
      <c r="C17" s="162">
        <f>'Buying pool summary'!K17</f>
        <v>54468.68259594198</v>
      </c>
      <c r="D17" s="163">
        <f>'Member shares'!B16</f>
        <v>6586</v>
      </c>
      <c r="E17" s="163">
        <f>'Magazine Costs'!G16</f>
        <v>4080.5357740641862</v>
      </c>
      <c r="F17" s="163">
        <f t="shared" si="1"/>
        <v>65135.218370006165</v>
      </c>
      <c r="G17" s="164">
        <f>'Buying pool summary'!L17</f>
        <v>55521.675963960348</v>
      </c>
      <c r="H17" s="165">
        <f>'Member shares'!C16</f>
        <v>5855</v>
      </c>
      <c r="I17" s="165">
        <v>0</v>
      </c>
      <c r="J17" s="165">
        <f t="shared" si="2"/>
        <v>61376.675963960348</v>
      </c>
      <c r="K17" s="166">
        <f t="shared" si="0"/>
        <v>3758.5424060458172</v>
      </c>
    </row>
    <row r="18" spans="1:11" x14ac:dyDescent="0.3">
      <c r="A18" s="167" t="s">
        <v>68</v>
      </c>
      <c r="B18" s="161"/>
      <c r="C18" s="162">
        <f>'Buying pool summary'!K18</f>
        <v>288430.92688579904</v>
      </c>
      <c r="D18" s="163">
        <f>'Member shares'!B17</f>
        <v>6586</v>
      </c>
      <c r="E18" s="163">
        <f>'Magazine Costs'!G17</f>
        <v>21085.624779808586</v>
      </c>
      <c r="F18" s="163">
        <f t="shared" si="1"/>
        <v>316102.55166560761</v>
      </c>
      <c r="G18" s="164">
        <f>'Buying pool summary'!L18</f>
        <v>274348.43095159647</v>
      </c>
      <c r="H18" s="165">
        <f>'Member shares'!C17</f>
        <v>5855</v>
      </c>
      <c r="I18" s="165">
        <v>0</v>
      </c>
      <c r="J18" s="165">
        <f t="shared" si="2"/>
        <v>280203.43095159647</v>
      </c>
      <c r="K18" s="166">
        <f t="shared" si="0"/>
        <v>35899.120714011136</v>
      </c>
    </row>
    <row r="19" spans="1:11" x14ac:dyDescent="0.3">
      <c r="A19" s="167" t="s">
        <v>69</v>
      </c>
      <c r="B19" s="161"/>
      <c r="C19" s="162">
        <f>'Buying pool summary'!K19</f>
        <v>27061.75800225222</v>
      </c>
      <c r="D19" s="163">
        <f>'Member shares'!B18</f>
        <v>6586</v>
      </c>
      <c r="E19" s="163">
        <f>'Magazine Costs'!G18</f>
        <v>2048.3726795699417</v>
      </c>
      <c r="F19" s="163">
        <f t="shared" si="1"/>
        <v>35696.130681822156</v>
      </c>
      <c r="G19" s="164">
        <f>'Buying pool summary'!L19</f>
        <v>27648.950494987483</v>
      </c>
      <c r="H19" s="165">
        <f>'Member shares'!C18</f>
        <v>5855</v>
      </c>
      <c r="I19" s="165">
        <v>0</v>
      </c>
      <c r="J19" s="165">
        <f t="shared" si="2"/>
        <v>33503.950494987483</v>
      </c>
      <c r="K19" s="166">
        <f t="shared" si="0"/>
        <v>2192.1801868346738</v>
      </c>
    </row>
    <row r="20" spans="1:11" x14ac:dyDescent="0.3">
      <c r="A20" s="167" t="s">
        <v>70</v>
      </c>
      <c r="B20" s="161"/>
      <c r="C20" s="162">
        <f>'Buying pool summary'!K20</f>
        <v>64858.990192979429</v>
      </c>
      <c r="D20" s="163">
        <f>'Member shares'!B19</f>
        <v>6586</v>
      </c>
      <c r="E20" s="163">
        <f>'Magazine Costs'!G19</f>
        <v>4887.4158204579662</v>
      </c>
      <c r="F20" s="163">
        <f t="shared" si="1"/>
        <v>76332.406013437401</v>
      </c>
      <c r="G20" s="164">
        <f>'Buying pool summary'!L20</f>
        <v>63883.504270406564</v>
      </c>
      <c r="H20" s="165">
        <f>'Member shares'!C19</f>
        <v>5855</v>
      </c>
      <c r="I20" s="165">
        <v>0</v>
      </c>
      <c r="J20" s="165">
        <f t="shared" si="2"/>
        <v>69738.504270406556</v>
      </c>
      <c r="K20" s="166">
        <f t="shared" si="0"/>
        <v>6593.901743030845</v>
      </c>
    </row>
    <row r="21" spans="1:11" x14ac:dyDescent="0.3">
      <c r="A21" s="167" t="s">
        <v>71</v>
      </c>
      <c r="B21" s="161"/>
      <c r="C21" s="162">
        <f>'Buying pool summary'!K21</f>
        <v>79132.850077864336</v>
      </c>
      <c r="D21" s="163">
        <f>'Member shares'!B20</f>
        <v>6586</v>
      </c>
      <c r="E21" s="163">
        <f>'Magazine Costs'!G20</f>
        <v>5910.2367992906384</v>
      </c>
      <c r="F21" s="163">
        <f t="shared" si="1"/>
        <v>91629.086877154972</v>
      </c>
      <c r="G21" s="164">
        <f>'Buying pool summary'!L21</f>
        <v>67985.579803890549</v>
      </c>
      <c r="H21" s="165">
        <f>'Member shares'!C20</f>
        <v>5855</v>
      </c>
      <c r="I21" s="165">
        <v>0</v>
      </c>
      <c r="J21" s="165">
        <f t="shared" si="2"/>
        <v>73840.579803890549</v>
      </c>
      <c r="K21" s="166">
        <f t="shared" si="0"/>
        <v>17788.507073264424</v>
      </c>
    </row>
    <row r="22" spans="1:11" x14ac:dyDescent="0.3">
      <c r="A22" s="168" t="s">
        <v>83</v>
      </c>
      <c r="B22" s="169" t="e">
        <f>SUM(#REF!)</f>
        <v>#REF!</v>
      </c>
      <c r="C22" s="162">
        <f>'Buying pool summary'!K22</f>
        <v>61485.225871719056</v>
      </c>
      <c r="D22" s="163">
        <f>'Member shares'!B21</f>
        <v>6586</v>
      </c>
      <c r="E22" s="163">
        <f>'Magazine Costs'!G21</f>
        <v>4650.8096962769787</v>
      </c>
      <c r="F22" s="163">
        <f t="shared" si="1"/>
        <v>72722.035567996034</v>
      </c>
      <c r="G22" s="164">
        <f>'Buying pool summary'!L22</f>
        <v>61856.144000297892</v>
      </c>
      <c r="H22" s="165">
        <f>'Member shares'!C21</f>
        <v>5855</v>
      </c>
      <c r="I22" s="165">
        <v>0</v>
      </c>
      <c r="J22" s="165">
        <f t="shared" si="2"/>
        <v>67711.144000297892</v>
      </c>
      <c r="K22" s="166">
        <f t="shared" si="0"/>
        <v>5010.8915676981414</v>
      </c>
    </row>
    <row r="23" spans="1:11" x14ac:dyDescent="0.3">
      <c r="C23" s="170">
        <f t="shared" ref="C23:J23" si="3">SUM(C7:C22)</f>
        <v>1340943.9999999998</v>
      </c>
      <c r="D23" s="166">
        <f t="shared" si="3"/>
        <v>105376</v>
      </c>
      <c r="E23" s="166">
        <f t="shared" si="3"/>
        <v>100000.00000000001</v>
      </c>
      <c r="F23" s="166">
        <f t="shared" si="3"/>
        <v>1546319.9999999998</v>
      </c>
      <c r="G23" s="170">
        <f t="shared" si="3"/>
        <v>1274222</v>
      </c>
      <c r="H23" s="166">
        <f t="shared" si="3"/>
        <v>93680</v>
      </c>
      <c r="I23" s="166">
        <f t="shared" si="3"/>
        <v>0</v>
      </c>
      <c r="J23" s="166">
        <f t="shared" si="3"/>
        <v>1367902</v>
      </c>
      <c r="K23" s="166"/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E35" sqref="E35"/>
    </sheetView>
  </sheetViews>
  <sheetFormatPr defaultColWidth="9.33203125" defaultRowHeight="14.4" x14ac:dyDescent="0.3"/>
  <cols>
    <col min="1" max="1" width="39.5546875" style="8" bestFit="1" customWidth="1"/>
    <col min="2" max="2" width="22.33203125" style="8" bestFit="1" customWidth="1"/>
    <col min="3" max="4" width="18.33203125" style="8" bestFit="1" customWidth="1"/>
    <col min="5" max="5" width="12.33203125" style="8" bestFit="1" customWidth="1"/>
    <col min="6" max="6" width="14" style="8" customWidth="1"/>
    <col min="7" max="16384" width="9.33203125" style="8"/>
  </cols>
  <sheetData>
    <row r="1" spans="1:5" x14ac:dyDescent="0.3">
      <c r="A1" s="12" t="s">
        <v>25</v>
      </c>
      <c r="B1" s="13">
        <f>'2022 budget'!C7</f>
        <v>105375</v>
      </c>
    </row>
    <row r="2" spans="1:5" x14ac:dyDescent="0.3">
      <c r="A2" s="14" t="s">
        <v>44</v>
      </c>
      <c r="B2" s="18">
        <f>ROUND(B1/16, 0)</f>
        <v>6586</v>
      </c>
    </row>
    <row r="5" spans="1:5" x14ac:dyDescent="0.3">
      <c r="A5" s="14" t="s">
        <v>26</v>
      </c>
      <c r="B5" s="93" t="s">
        <v>106</v>
      </c>
      <c r="C5" s="110" t="s">
        <v>91</v>
      </c>
      <c r="D5" s="14" t="s">
        <v>27</v>
      </c>
    </row>
    <row r="6" spans="1:5" x14ac:dyDescent="0.3">
      <c r="A6" s="8" t="s">
        <v>28</v>
      </c>
      <c r="B6" s="94">
        <f>$B$2</f>
        <v>6586</v>
      </c>
      <c r="C6" s="19">
        <v>5855</v>
      </c>
      <c r="D6" s="15">
        <f>B6-C6</f>
        <v>731</v>
      </c>
      <c r="E6" s="16"/>
    </row>
    <row r="7" spans="1:5" x14ac:dyDescent="0.3">
      <c r="A7" s="8" t="s">
        <v>29</v>
      </c>
      <c r="B7" s="94">
        <f t="shared" ref="B7:B21" si="0">$B$2</f>
        <v>6586</v>
      </c>
      <c r="C7" s="19">
        <v>5855</v>
      </c>
      <c r="D7" s="15">
        <f>B7-C7</f>
        <v>731</v>
      </c>
      <c r="E7" s="16"/>
    </row>
    <row r="8" spans="1:5" x14ac:dyDescent="0.3">
      <c r="A8" s="8" t="s">
        <v>103</v>
      </c>
      <c r="B8" s="94">
        <f t="shared" si="0"/>
        <v>6586</v>
      </c>
      <c r="C8" s="19">
        <v>5855</v>
      </c>
      <c r="D8" s="15">
        <f t="shared" ref="D8:D21" si="1">B8-C8</f>
        <v>731</v>
      </c>
      <c r="E8" s="16"/>
    </row>
    <row r="9" spans="1:5" x14ac:dyDescent="0.3">
      <c r="A9" s="8" t="s">
        <v>30</v>
      </c>
      <c r="B9" s="94">
        <f t="shared" si="0"/>
        <v>6586</v>
      </c>
      <c r="C9" s="19">
        <v>5855</v>
      </c>
      <c r="D9" s="15">
        <f t="shared" si="1"/>
        <v>731</v>
      </c>
      <c r="E9" s="16"/>
    </row>
    <row r="10" spans="1:5" x14ac:dyDescent="0.3">
      <c r="A10" s="8" t="s">
        <v>31</v>
      </c>
      <c r="B10" s="94">
        <f t="shared" si="0"/>
        <v>6586</v>
      </c>
      <c r="C10" s="19">
        <v>5855</v>
      </c>
      <c r="D10" s="15">
        <f t="shared" si="1"/>
        <v>731</v>
      </c>
      <c r="E10" s="16"/>
    </row>
    <row r="11" spans="1:5" x14ac:dyDescent="0.3">
      <c r="A11" s="8" t="s">
        <v>32</v>
      </c>
      <c r="B11" s="94">
        <f t="shared" si="0"/>
        <v>6586</v>
      </c>
      <c r="C11" s="19">
        <v>5855</v>
      </c>
      <c r="D11" s="15">
        <f t="shared" si="1"/>
        <v>731</v>
      </c>
      <c r="E11" s="16"/>
    </row>
    <row r="12" spans="1:5" x14ac:dyDescent="0.3">
      <c r="A12" s="8" t="s">
        <v>33</v>
      </c>
      <c r="B12" s="94">
        <f t="shared" si="0"/>
        <v>6586</v>
      </c>
      <c r="C12" s="19">
        <v>5855</v>
      </c>
      <c r="D12" s="15">
        <f t="shared" si="1"/>
        <v>731</v>
      </c>
      <c r="E12" s="16"/>
    </row>
    <row r="13" spans="1:5" x14ac:dyDescent="0.3">
      <c r="A13" s="8" t="s">
        <v>34</v>
      </c>
      <c r="B13" s="94">
        <f t="shared" si="0"/>
        <v>6586</v>
      </c>
      <c r="C13" s="19">
        <v>5855</v>
      </c>
      <c r="D13" s="15">
        <f t="shared" si="1"/>
        <v>731</v>
      </c>
      <c r="E13" s="16"/>
    </row>
    <row r="14" spans="1:5" x14ac:dyDescent="0.3">
      <c r="A14" s="8" t="s">
        <v>35</v>
      </c>
      <c r="B14" s="94">
        <f t="shared" si="0"/>
        <v>6586</v>
      </c>
      <c r="C14" s="19">
        <v>5855</v>
      </c>
      <c r="D14" s="15">
        <f t="shared" si="1"/>
        <v>731</v>
      </c>
      <c r="E14" s="16"/>
    </row>
    <row r="15" spans="1:5" x14ac:dyDescent="0.3">
      <c r="A15" s="8" t="s">
        <v>36</v>
      </c>
      <c r="B15" s="94">
        <f t="shared" si="0"/>
        <v>6586</v>
      </c>
      <c r="C15" s="19">
        <v>5855</v>
      </c>
      <c r="D15" s="15">
        <f t="shared" si="1"/>
        <v>731</v>
      </c>
      <c r="E15" s="16"/>
    </row>
    <row r="16" spans="1:5" x14ac:dyDescent="0.3">
      <c r="A16" s="8" t="s">
        <v>37</v>
      </c>
      <c r="B16" s="94">
        <f t="shared" si="0"/>
        <v>6586</v>
      </c>
      <c r="C16" s="19">
        <v>5855</v>
      </c>
      <c r="D16" s="15">
        <f t="shared" si="1"/>
        <v>731</v>
      </c>
      <c r="E16" s="16"/>
    </row>
    <row r="17" spans="1:10" x14ac:dyDescent="0.3">
      <c r="A17" s="8" t="s">
        <v>38</v>
      </c>
      <c r="B17" s="94">
        <f t="shared" si="0"/>
        <v>6586</v>
      </c>
      <c r="C17" s="19">
        <v>5855</v>
      </c>
      <c r="D17" s="15">
        <f t="shared" si="1"/>
        <v>731</v>
      </c>
      <c r="E17" s="16"/>
    </row>
    <row r="18" spans="1:10" x14ac:dyDescent="0.3">
      <c r="A18" s="8" t="s">
        <v>39</v>
      </c>
      <c r="B18" s="94">
        <f t="shared" si="0"/>
        <v>6586</v>
      </c>
      <c r="C18" s="19">
        <v>5855</v>
      </c>
      <c r="D18" s="15">
        <f t="shared" si="1"/>
        <v>731</v>
      </c>
      <c r="E18" s="16"/>
    </row>
    <row r="19" spans="1:10" x14ac:dyDescent="0.3">
      <c r="A19" s="8" t="s">
        <v>40</v>
      </c>
      <c r="B19" s="94">
        <f t="shared" si="0"/>
        <v>6586</v>
      </c>
      <c r="C19" s="19">
        <v>5855</v>
      </c>
      <c r="D19" s="15">
        <f t="shared" si="1"/>
        <v>731</v>
      </c>
      <c r="E19" s="16"/>
    </row>
    <row r="20" spans="1:10" x14ac:dyDescent="0.3">
      <c r="A20" s="8" t="s">
        <v>41</v>
      </c>
      <c r="B20" s="94">
        <f t="shared" si="0"/>
        <v>6586</v>
      </c>
      <c r="C20" s="19">
        <v>5855</v>
      </c>
      <c r="D20" s="15">
        <f t="shared" si="1"/>
        <v>731</v>
      </c>
      <c r="E20" s="16"/>
      <c r="J20" s="14"/>
    </row>
    <row r="21" spans="1:10" x14ac:dyDescent="0.3">
      <c r="A21" s="8" t="s">
        <v>42</v>
      </c>
      <c r="B21" s="94">
        <f t="shared" si="0"/>
        <v>6586</v>
      </c>
      <c r="C21" s="19">
        <v>5855</v>
      </c>
      <c r="D21" s="15">
        <f t="shared" si="1"/>
        <v>731</v>
      </c>
      <c r="E21" s="16"/>
    </row>
    <row r="22" spans="1:10" s="14" customFormat="1" x14ac:dyDescent="0.3">
      <c r="A22" s="14" t="s">
        <v>43</v>
      </c>
      <c r="B22" s="114">
        <f>SUM(B6:B21)</f>
        <v>105376</v>
      </c>
      <c r="C22" s="111">
        <f>SUM(C6:C21)</f>
        <v>93680</v>
      </c>
      <c r="D22" s="17">
        <f>SUM(D6:D21)</f>
        <v>11696</v>
      </c>
      <c r="J22" s="8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2"/>
  <sheetViews>
    <sheetView zoomScaleNormal="100" workbookViewId="0">
      <selection activeCell="H33" sqref="H33"/>
    </sheetView>
  </sheetViews>
  <sheetFormatPr defaultColWidth="9.33203125" defaultRowHeight="14.4" x14ac:dyDescent="0.3"/>
  <cols>
    <col min="1" max="1" width="33" style="45" customWidth="1"/>
    <col min="2" max="2" width="11.6640625" style="33" customWidth="1"/>
    <col min="3" max="3" width="9.6640625" style="33" customWidth="1"/>
    <col min="4" max="4" width="13.6640625" style="33" customWidth="1"/>
    <col min="5" max="6" width="15.33203125" style="33" customWidth="1"/>
    <col min="7" max="7" width="17.6640625" style="33" customWidth="1"/>
    <col min="8" max="8" width="15.44140625" style="33" customWidth="1"/>
    <col min="9" max="9" width="16.5546875" style="33" customWidth="1"/>
    <col min="10" max="10" width="22.6640625" style="33" bestFit="1" customWidth="1"/>
    <col min="11" max="11" width="26.6640625" style="33" customWidth="1"/>
    <col min="12" max="12" width="13.6640625" style="33" bestFit="1" customWidth="1"/>
    <col min="13" max="13" width="10.5546875" style="33" bestFit="1" customWidth="1"/>
    <col min="14" max="16384" width="9.33203125" style="33"/>
  </cols>
  <sheetData>
    <row r="2" spans="1:13" x14ac:dyDescent="0.3">
      <c r="D2" s="68"/>
      <c r="G2" s="26" t="s">
        <v>45</v>
      </c>
      <c r="H2" s="128">
        <v>1183444</v>
      </c>
      <c r="I2" s="33" t="s">
        <v>46</v>
      </c>
    </row>
    <row r="3" spans="1:13" x14ac:dyDescent="0.3">
      <c r="D3" s="68"/>
      <c r="G3" s="26" t="s">
        <v>47</v>
      </c>
      <c r="H3" s="128">
        <v>157500</v>
      </c>
      <c r="I3" s="33" t="s">
        <v>48</v>
      </c>
    </row>
    <row r="5" spans="1:13" x14ac:dyDescent="0.3">
      <c r="B5" s="82">
        <v>2020</v>
      </c>
      <c r="C5" s="82">
        <v>2020</v>
      </c>
      <c r="D5" s="82">
        <v>2019</v>
      </c>
      <c r="E5" s="40">
        <v>2019</v>
      </c>
      <c r="F5" s="40" t="s">
        <v>45</v>
      </c>
      <c r="G5" s="26" t="s">
        <v>49</v>
      </c>
      <c r="H5" s="82">
        <v>2020</v>
      </c>
      <c r="I5" s="21">
        <v>2020</v>
      </c>
      <c r="J5" s="26" t="s">
        <v>47</v>
      </c>
      <c r="K5" s="22">
        <v>2022</v>
      </c>
      <c r="L5" s="23">
        <v>2021</v>
      </c>
    </row>
    <row r="6" spans="1:13" x14ac:dyDescent="0.3">
      <c r="A6" s="44"/>
      <c r="B6" s="25" t="s">
        <v>51</v>
      </c>
      <c r="C6" s="25" t="s">
        <v>52</v>
      </c>
      <c r="D6" s="25" t="s">
        <v>107</v>
      </c>
      <c r="E6" s="25" t="s">
        <v>53</v>
      </c>
      <c r="F6" s="25" t="s">
        <v>77</v>
      </c>
      <c r="G6" s="76" t="s">
        <v>54</v>
      </c>
      <c r="H6" s="77" t="s">
        <v>55</v>
      </c>
      <c r="I6" s="78" t="s">
        <v>56</v>
      </c>
      <c r="J6" s="78" t="s">
        <v>57</v>
      </c>
      <c r="K6" s="79" t="s">
        <v>93</v>
      </c>
      <c r="L6" s="80" t="s">
        <v>92</v>
      </c>
      <c r="M6" s="81" t="s">
        <v>80</v>
      </c>
    </row>
    <row r="7" spans="1:13" x14ac:dyDescent="0.3">
      <c r="A7" s="45" t="s">
        <v>58</v>
      </c>
      <c r="B7" s="112">
        <v>130087</v>
      </c>
      <c r="C7" s="37">
        <f t="shared" ref="C7:C22" si="0">B7/$B$24</f>
        <v>1.8584797002591275E-2</v>
      </c>
      <c r="D7" s="69">
        <v>160465</v>
      </c>
      <c r="E7" s="37">
        <f t="shared" ref="E7:E22" si="1">D7/$D$24</f>
        <v>2.7460693977848335E-2</v>
      </c>
      <c r="F7" s="95">
        <f>(($C7*3)+$E7)/4</f>
        <v>2.080377124640554E-2</v>
      </c>
      <c r="G7" s="28">
        <f>(($C7*3)+$E7)/4*$H$2</f>
        <v>24620.098258931157</v>
      </c>
      <c r="H7" s="31">
        <v>60995</v>
      </c>
      <c r="I7" s="96">
        <f t="shared" ref="I7:I22" si="2">H7/$H$24</f>
        <v>1.7337483300645235E-2</v>
      </c>
      <c r="J7" s="28">
        <f>I7*$H$3</f>
        <v>2730.6536198516246</v>
      </c>
      <c r="K7" s="70">
        <f>G7+J7</f>
        <v>27350.751878782783</v>
      </c>
      <c r="L7" s="64">
        <v>29761.928730837059</v>
      </c>
      <c r="M7" s="86">
        <f>K7-L7</f>
        <v>-2411.1768520542755</v>
      </c>
    </row>
    <row r="8" spans="1:13" x14ac:dyDescent="0.3">
      <c r="A8" s="47" t="s">
        <v>59</v>
      </c>
      <c r="B8" s="112">
        <v>728588</v>
      </c>
      <c r="C8" s="37">
        <f t="shared" si="0"/>
        <v>0.10408926394277654</v>
      </c>
      <c r="D8" s="69">
        <v>511305</v>
      </c>
      <c r="E8" s="37">
        <f t="shared" si="1"/>
        <v>8.7500639605794045E-2</v>
      </c>
      <c r="F8" s="95">
        <f t="shared" ref="F8:F23" si="3">(($C8*3)+$E8)/4</f>
        <v>9.9942107858530915E-2</v>
      </c>
      <c r="G8" s="28">
        <f>((C8*3)+E8)/4*$H$2</f>
        <v>118275.88789253126</v>
      </c>
      <c r="H8" s="31">
        <v>381113</v>
      </c>
      <c r="I8" s="96">
        <f t="shared" si="2"/>
        <v>0.10832921179045507</v>
      </c>
      <c r="J8" s="28">
        <f t="shared" ref="J8:J23" si="4">I8*$H$3</f>
        <v>17061.850856996673</v>
      </c>
      <c r="K8" s="70">
        <f t="shared" ref="K8:K23" si="5">G8+J8</f>
        <v>135337.73874952793</v>
      </c>
      <c r="L8" s="64">
        <v>120297.37286937873</v>
      </c>
      <c r="M8" s="86">
        <f t="shared" ref="M8:M23" si="6">K8-L8</f>
        <v>15040.365880149198</v>
      </c>
    </row>
    <row r="9" spans="1:13" x14ac:dyDescent="0.3">
      <c r="A9" s="45" t="s">
        <v>104</v>
      </c>
      <c r="B9" s="112">
        <v>664997</v>
      </c>
      <c r="C9" s="37">
        <f t="shared" si="0"/>
        <v>9.500437593558303E-2</v>
      </c>
      <c r="D9" s="69">
        <v>472058</v>
      </c>
      <c r="E9" s="37">
        <f t="shared" si="1"/>
        <v>8.0784222589319346E-2</v>
      </c>
      <c r="F9" s="95">
        <f t="shared" si="3"/>
        <v>9.1449337599017105E-2</v>
      </c>
      <c r="G9" s="28">
        <f t="shared" ref="G9:G23" si="7">((C9*3)+E9)/4*$H$2</f>
        <v>108225.1698855312</v>
      </c>
      <c r="H9" s="31">
        <v>314616</v>
      </c>
      <c r="I9" s="96">
        <f t="shared" si="2"/>
        <v>8.9427816150763201E-2</v>
      </c>
      <c r="J9" s="28">
        <f t="shared" si="4"/>
        <v>14084.881043745205</v>
      </c>
      <c r="K9" s="70">
        <f t="shared" si="5"/>
        <v>122310.0509292764</v>
      </c>
      <c r="L9" s="64">
        <v>113164.55158410069</v>
      </c>
      <c r="M9" s="86">
        <f t="shared" si="6"/>
        <v>9145.4993451757182</v>
      </c>
    </row>
    <row r="10" spans="1:13" x14ac:dyDescent="0.3">
      <c r="A10" s="47" t="s">
        <v>60</v>
      </c>
      <c r="B10" s="112">
        <v>142796</v>
      </c>
      <c r="C10" s="37">
        <f t="shared" si="0"/>
        <v>2.0400460251847021E-2</v>
      </c>
      <c r="D10" s="69">
        <v>170048</v>
      </c>
      <c r="E10" s="37">
        <f t="shared" si="1"/>
        <v>2.9100651790391383E-2</v>
      </c>
      <c r="F10" s="95">
        <f t="shared" si="3"/>
        <v>2.2575508136483111E-2</v>
      </c>
      <c r="G10" s="28">
        <f t="shared" si="7"/>
        <v>26716.84965107212</v>
      </c>
      <c r="H10" s="31">
        <v>71705</v>
      </c>
      <c r="I10" s="96">
        <f t="shared" si="2"/>
        <v>2.0381740143827633E-2</v>
      </c>
      <c r="J10" s="28">
        <f t="shared" si="4"/>
        <v>3210.1240726528522</v>
      </c>
      <c r="K10" s="70">
        <f t="shared" si="5"/>
        <v>29926.973723724972</v>
      </c>
      <c r="L10" s="64">
        <v>29865.01234838424</v>
      </c>
      <c r="M10" s="86">
        <f t="shared" si="6"/>
        <v>61.961375340732047</v>
      </c>
    </row>
    <row r="11" spans="1:13" x14ac:dyDescent="0.3">
      <c r="A11" s="47" t="s">
        <v>61</v>
      </c>
      <c r="B11" s="112">
        <v>250672</v>
      </c>
      <c r="C11" s="37">
        <f t="shared" si="0"/>
        <v>3.5812096783180175E-2</v>
      </c>
      <c r="D11" s="69">
        <v>288184</v>
      </c>
      <c r="E11" s="37">
        <f t="shared" si="1"/>
        <v>4.9317499973902369E-2</v>
      </c>
      <c r="F11" s="95">
        <f t="shared" si="3"/>
        <v>3.9188447580860722E-2</v>
      </c>
      <c r="G11" s="28">
        <f t="shared" si="7"/>
        <v>46377.333158884139</v>
      </c>
      <c r="H11" s="31">
        <v>124569</v>
      </c>
      <c r="I11" s="96">
        <f t="shared" si="2"/>
        <v>3.5408032744947554E-2</v>
      </c>
      <c r="J11" s="28">
        <f t="shared" si="4"/>
        <v>5576.7651573292396</v>
      </c>
      <c r="K11" s="70">
        <f t="shared" si="5"/>
        <v>51954.098316213378</v>
      </c>
      <c r="L11" s="64">
        <v>50459.589217158733</v>
      </c>
      <c r="M11" s="86">
        <f t="shared" si="6"/>
        <v>1494.509099054645</v>
      </c>
    </row>
    <row r="12" spans="1:13" x14ac:dyDescent="0.3">
      <c r="A12" s="47" t="s">
        <v>62</v>
      </c>
      <c r="B12" s="112">
        <v>89139</v>
      </c>
      <c r="C12" s="37">
        <f t="shared" si="0"/>
        <v>1.2734786873507603E-2</v>
      </c>
      <c r="D12" s="69">
        <v>120147</v>
      </c>
      <c r="E12" s="37">
        <f t="shared" si="1"/>
        <v>2.0560994605406436E-2</v>
      </c>
      <c r="F12" s="95">
        <f t="shared" si="3"/>
        <v>1.469133880648231E-2</v>
      </c>
      <c r="G12" s="28">
        <f t="shared" si="7"/>
        <v>17386.37676249865</v>
      </c>
      <c r="H12" s="31">
        <v>42677</v>
      </c>
      <c r="I12" s="96">
        <f t="shared" si="2"/>
        <v>1.2130695545891248E-2</v>
      </c>
      <c r="J12" s="28">
        <f t="shared" si="4"/>
        <v>1910.5845484778715</v>
      </c>
      <c r="K12" s="70">
        <f t="shared" si="5"/>
        <v>19296.961310976523</v>
      </c>
      <c r="L12" s="64">
        <v>19031.57275514707</v>
      </c>
      <c r="M12" s="86">
        <f t="shared" si="6"/>
        <v>265.38855582945325</v>
      </c>
    </row>
    <row r="13" spans="1:13" ht="28.8" x14ac:dyDescent="0.3">
      <c r="A13" s="47" t="s">
        <v>63</v>
      </c>
      <c r="B13" s="112">
        <v>656530</v>
      </c>
      <c r="C13" s="37">
        <f t="shared" si="0"/>
        <v>9.3794743334162906E-2</v>
      </c>
      <c r="D13" s="69">
        <v>946386</v>
      </c>
      <c r="E13" s="37">
        <f t="shared" si="1"/>
        <v>0.16195691478465693</v>
      </c>
      <c r="F13" s="95">
        <f t="shared" si="3"/>
        <v>0.1108352861967864</v>
      </c>
      <c r="G13" s="28">
        <f t="shared" si="7"/>
        <v>131167.35443786968</v>
      </c>
      <c r="H13" s="31">
        <v>358467</v>
      </c>
      <c r="I13" s="96">
        <f t="shared" si="2"/>
        <v>0.10189221454762513</v>
      </c>
      <c r="J13" s="28">
        <f t="shared" si="4"/>
        <v>16048.023791250958</v>
      </c>
      <c r="K13" s="70">
        <f t="shared" si="5"/>
        <v>147215.37822912063</v>
      </c>
      <c r="L13" s="64">
        <v>140189.66396839559</v>
      </c>
      <c r="M13" s="86">
        <f t="shared" si="6"/>
        <v>7025.7142607250425</v>
      </c>
    </row>
    <row r="14" spans="1:13" x14ac:dyDescent="0.3">
      <c r="A14" s="45" t="s">
        <v>64</v>
      </c>
      <c r="B14" s="112">
        <v>498369</v>
      </c>
      <c r="C14" s="37">
        <f t="shared" si="0"/>
        <v>7.1199172072416231E-2</v>
      </c>
      <c r="D14" s="69">
        <v>427546</v>
      </c>
      <c r="E14" s="37">
        <f t="shared" si="1"/>
        <v>7.3166795671661386E-2</v>
      </c>
      <c r="F14" s="95">
        <f t="shared" si="3"/>
        <v>7.1691077972227527E-2</v>
      </c>
      <c r="G14" s="28">
        <f>((C14*3)+E14)/4*$H$2</f>
        <v>84842.376079764828</v>
      </c>
      <c r="H14" s="31">
        <v>246514</v>
      </c>
      <c r="I14" s="96">
        <f t="shared" si="2"/>
        <v>7.0070208351098603E-2</v>
      </c>
      <c r="J14" s="28">
        <f t="shared" si="4"/>
        <v>11036.057815298031</v>
      </c>
      <c r="K14" s="70">
        <f t="shared" si="5"/>
        <v>95878.433895062859</v>
      </c>
      <c r="L14" s="64">
        <v>92306.429623973119</v>
      </c>
      <c r="M14" s="86">
        <f t="shared" si="6"/>
        <v>3572.0042710897396</v>
      </c>
    </row>
    <row r="15" spans="1:13" x14ac:dyDescent="0.3">
      <c r="A15" s="47" t="s">
        <v>65</v>
      </c>
      <c r="B15" s="112">
        <v>479597</v>
      </c>
      <c r="C15" s="37">
        <f t="shared" si="0"/>
        <v>6.8517322161720753E-2</v>
      </c>
      <c r="D15" s="112">
        <v>445035</v>
      </c>
      <c r="E15" s="37">
        <f t="shared" si="1"/>
        <v>7.6159722957852075E-2</v>
      </c>
      <c r="F15" s="95">
        <f t="shared" si="3"/>
        <v>7.0427922360753584E-2</v>
      </c>
      <c r="G15" s="28">
        <f>((C15*3)+E15)/4*$H$2</f>
        <v>83347.502150299668</v>
      </c>
      <c r="H15" s="31">
        <v>235974</v>
      </c>
      <c r="I15" s="96">
        <f t="shared" si="2"/>
        <v>6.7074273045109573E-2</v>
      </c>
      <c r="J15" s="28">
        <f t="shared" si="4"/>
        <v>10564.198004604757</v>
      </c>
      <c r="K15" s="70">
        <f t="shared" si="5"/>
        <v>93911.700154904422</v>
      </c>
      <c r="L15" s="64">
        <v>87677.940410286683</v>
      </c>
      <c r="M15" s="86">
        <f t="shared" si="6"/>
        <v>6233.7597446177388</v>
      </c>
    </row>
    <row r="16" spans="1:13" x14ac:dyDescent="0.3">
      <c r="A16" s="47" t="s">
        <v>66</v>
      </c>
      <c r="B16" s="112">
        <v>235826</v>
      </c>
      <c r="C16" s="37">
        <f t="shared" si="0"/>
        <v>3.3691132380123223E-2</v>
      </c>
      <c r="D16" s="69">
        <v>151857</v>
      </c>
      <c r="E16" s="37">
        <f t="shared" si="1"/>
        <v>2.5987589850709591E-2</v>
      </c>
      <c r="F16" s="95">
        <f t="shared" si="3"/>
        <v>3.1765246747769815E-2</v>
      </c>
      <c r="G16" s="28">
        <f t="shared" si="7"/>
        <v>37592.390672167698</v>
      </c>
      <c r="H16" s="31">
        <v>105679</v>
      </c>
      <c r="I16" s="96">
        <f t="shared" si="2"/>
        <v>3.0038657229754698E-2</v>
      </c>
      <c r="J16" s="28">
        <f t="shared" si="4"/>
        <v>4731.0885136863653</v>
      </c>
      <c r="K16" s="70">
        <f t="shared" si="5"/>
        <v>42323.479185854063</v>
      </c>
      <c r="L16" s="64">
        <v>40223.653007198765</v>
      </c>
      <c r="M16" s="86">
        <f t="shared" si="6"/>
        <v>2099.8261786552976</v>
      </c>
    </row>
    <row r="17" spans="1:13" ht="28.8" x14ac:dyDescent="0.3">
      <c r="A17" s="47" t="s">
        <v>67</v>
      </c>
      <c r="B17" s="112">
        <v>280786</v>
      </c>
      <c r="C17" s="37">
        <f t="shared" si="0"/>
        <v>4.0114314352468684E-2</v>
      </c>
      <c r="D17" s="112">
        <v>250558</v>
      </c>
      <c r="E17" s="37">
        <f t="shared" si="1"/>
        <v>4.287848790516139E-2</v>
      </c>
      <c r="F17" s="95">
        <f t="shared" si="3"/>
        <v>4.0805357740641861E-2</v>
      </c>
      <c r="G17" s="28">
        <f t="shared" si="7"/>
        <v>48290.855786016167</v>
      </c>
      <c r="H17" s="31">
        <v>137995</v>
      </c>
      <c r="I17" s="96">
        <f t="shared" si="2"/>
        <v>3.9224297205878174E-2</v>
      </c>
      <c r="J17" s="28">
        <f t="shared" si="4"/>
        <v>6177.8268099258121</v>
      </c>
      <c r="K17" s="70">
        <f t="shared" si="5"/>
        <v>54468.68259594198</v>
      </c>
      <c r="L17" s="64">
        <v>55521.675963960348</v>
      </c>
      <c r="M17" s="86">
        <f t="shared" si="6"/>
        <v>-1052.9933680183676</v>
      </c>
    </row>
    <row r="18" spans="1:13" x14ac:dyDescent="0.3">
      <c r="A18" s="47" t="s">
        <v>68</v>
      </c>
      <c r="B18" s="112">
        <v>1621611</v>
      </c>
      <c r="C18" s="37">
        <f t="shared" si="0"/>
        <v>0.23167043019032676</v>
      </c>
      <c r="D18" s="69">
        <v>867247</v>
      </c>
      <c r="E18" s="37">
        <f t="shared" si="1"/>
        <v>0.14841370062136314</v>
      </c>
      <c r="F18" s="95">
        <f t="shared" si="3"/>
        <v>0.21085624779808587</v>
      </c>
      <c r="G18" s="28">
        <f t="shared" si="7"/>
        <v>249536.56131915795</v>
      </c>
      <c r="H18" s="31">
        <v>868789</v>
      </c>
      <c r="I18" s="96">
        <f t="shared" si="2"/>
        <v>0.24694835280407038</v>
      </c>
      <c r="J18" s="28">
        <f t="shared" si="4"/>
        <v>38894.365566641085</v>
      </c>
      <c r="K18" s="70">
        <f t="shared" si="5"/>
        <v>288430.92688579904</v>
      </c>
      <c r="L18" s="64">
        <v>274348.43095159647</v>
      </c>
      <c r="M18" s="86">
        <f t="shared" si="6"/>
        <v>14082.495934202569</v>
      </c>
    </row>
    <row r="19" spans="1:13" x14ac:dyDescent="0.3">
      <c r="A19" s="47" t="s">
        <v>69</v>
      </c>
      <c r="B19" s="112">
        <v>139809</v>
      </c>
      <c r="C19" s="37">
        <f t="shared" si="0"/>
        <v>1.9973724385490353E-2</v>
      </c>
      <c r="D19" s="69">
        <v>128636</v>
      </c>
      <c r="E19" s="37">
        <f t="shared" si="1"/>
        <v>2.2013734026326601E-2</v>
      </c>
      <c r="F19" s="95">
        <f t="shared" si="3"/>
        <v>2.0483726795699417E-2</v>
      </c>
      <c r="G19" s="28">
        <f t="shared" si="7"/>
        <v>24241.343574009701</v>
      </c>
      <c r="H19" s="31">
        <v>63000</v>
      </c>
      <c r="I19" s="96">
        <f t="shared" si="2"/>
        <v>1.7907393195190587E-2</v>
      </c>
      <c r="J19" s="28">
        <f t="shared" si="4"/>
        <v>2820.4144282425173</v>
      </c>
      <c r="K19" s="70">
        <f t="shared" si="5"/>
        <v>27061.75800225222</v>
      </c>
      <c r="L19" s="64">
        <v>27648.950494987483</v>
      </c>
      <c r="M19" s="86">
        <f t="shared" si="6"/>
        <v>-587.19249273526293</v>
      </c>
    </row>
    <row r="20" spans="1:13" x14ac:dyDescent="0.3">
      <c r="A20" s="47" t="s">
        <v>70</v>
      </c>
      <c r="B20" s="112">
        <v>340952</v>
      </c>
      <c r="C20" s="37">
        <f t="shared" si="0"/>
        <v>4.8709891900247528E-2</v>
      </c>
      <c r="D20" s="69">
        <v>288473</v>
      </c>
      <c r="E20" s="37">
        <f t="shared" si="1"/>
        <v>4.9366957117576056E-2</v>
      </c>
      <c r="F20" s="95">
        <f t="shared" si="3"/>
        <v>4.887415820457966E-2</v>
      </c>
      <c r="G20" s="28">
        <f t="shared" si="7"/>
        <v>57839.829282260573</v>
      </c>
      <c r="H20" s="31">
        <v>156788</v>
      </c>
      <c r="I20" s="96">
        <f t="shared" si="2"/>
        <v>4.456610102043717E-2</v>
      </c>
      <c r="J20" s="28">
        <f t="shared" si="4"/>
        <v>7019.1609107188542</v>
      </c>
      <c r="K20" s="70">
        <f t="shared" si="5"/>
        <v>64858.990192979429</v>
      </c>
      <c r="L20" s="64">
        <v>63883.504270406564</v>
      </c>
      <c r="M20" s="86">
        <f t="shared" si="6"/>
        <v>975.48592257286509</v>
      </c>
    </row>
    <row r="21" spans="1:13" x14ac:dyDescent="0.3">
      <c r="A21" s="47" t="s">
        <v>71</v>
      </c>
      <c r="B21" s="112">
        <v>419067</v>
      </c>
      <c r="C21" s="37">
        <f t="shared" si="0"/>
        <v>5.9869741984094622E-2</v>
      </c>
      <c r="D21" s="69">
        <v>331909</v>
      </c>
      <c r="E21" s="37">
        <f t="shared" si="1"/>
        <v>5.680024601934168E-2</v>
      </c>
      <c r="F21" s="95">
        <f t="shared" si="3"/>
        <v>5.9102367992906385E-2</v>
      </c>
      <c r="G21" s="28">
        <f t="shared" si="7"/>
        <v>69944.342786997106</v>
      </c>
      <c r="H21" s="31">
        <v>205245</v>
      </c>
      <c r="I21" s="96">
        <f t="shared" si="2"/>
        <v>5.8339728830903041E-2</v>
      </c>
      <c r="J21" s="28">
        <f t="shared" si="4"/>
        <v>9188.5072908672282</v>
      </c>
      <c r="K21" s="70">
        <f t="shared" si="5"/>
        <v>79132.850077864336</v>
      </c>
      <c r="L21" s="64">
        <v>67985.579803890549</v>
      </c>
      <c r="M21" s="86">
        <f t="shared" si="6"/>
        <v>11147.270273973787</v>
      </c>
    </row>
    <row r="22" spans="1:13" x14ac:dyDescent="0.3">
      <c r="A22" s="47" t="s">
        <v>72</v>
      </c>
      <c r="B22" s="112">
        <v>320820</v>
      </c>
      <c r="C22" s="37">
        <f t="shared" si="0"/>
        <v>4.5833746449463302E-2</v>
      </c>
      <c r="D22" s="69">
        <v>283589</v>
      </c>
      <c r="E22" s="37">
        <f t="shared" si="1"/>
        <v>4.8531148502689254E-2</v>
      </c>
      <c r="F22" s="95">
        <f t="shared" si="3"/>
        <v>4.6508096962769786E-2</v>
      </c>
      <c r="G22" s="28">
        <f t="shared" si="7"/>
        <v>55039.72830200813</v>
      </c>
      <c r="H22" s="31">
        <v>143974</v>
      </c>
      <c r="I22" s="96">
        <f t="shared" si="2"/>
        <v>4.0923794093402688E-2</v>
      </c>
      <c r="J22" s="28">
        <f t="shared" si="4"/>
        <v>6445.497569710923</v>
      </c>
      <c r="K22" s="70">
        <f t="shared" si="5"/>
        <v>61485.225871719056</v>
      </c>
      <c r="L22" s="64">
        <v>61856.144000297892</v>
      </c>
      <c r="M22" s="86">
        <f t="shared" si="6"/>
        <v>-370.91812857883633</v>
      </c>
    </row>
    <row r="23" spans="1:13" hidden="1" x14ac:dyDescent="0.3">
      <c r="A23" s="47"/>
      <c r="D23" s="34"/>
      <c r="E23" s="37">
        <f>D23/$D$24</f>
        <v>0</v>
      </c>
      <c r="F23" s="42">
        <f t="shared" si="3"/>
        <v>0</v>
      </c>
      <c r="G23" s="35">
        <f t="shared" si="7"/>
        <v>0</v>
      </c>
      <c r="H23" s="72"/>
      <c r="I23" s="46">
        <f>H23/$H$24</f>
        <v>0</v>
      </c>
      <c r="J23" s="35">
        <f t="shared" si="4"/>
        <v>0</v>
      </c>
      <c r="K23" s="73">
        <f t="shared" si="5"/>
        <v>0</v>
      </c>
      <c r="L23" s="74">
        <v>0</v>
      </c>
      <c r="M23" s="86">
        <f t="shared" si="6"/>
        <v>0</v>
      </c>
    </row>
    <row r="24" spans="1:13" x14ac:dyDescent="0.3">
      <c r="A24" s="48" t="s">
        <v>73</v>
      </c>
      <c r="B24" s="36">
        <f>SUM(B7:B23)</f>
        <v>6999646</v>
      </c>
      <c r="C24" s="37">
        <f>B24/$B$24</f>
        <v>1</v>
      </c>
      <c r="D24" s="36">
        <f>SUM(D7:D22)</f>
        <v>5843443</v>
      </c>
      <c r="E24" s="37">
        <f>D24/$D$24</f>
        <v>1</v>
      </c>
      <c r="F24" s="37">
        <f>SUM(F7:F23)</f>
        <v>1</v>
      </c>
      <c r="G24" s="35">
        <f>SUM(G7:G23)</f>
        <v>1183444</v>
      </c>
      <c r="H24" s="29">
        <f>SUM(H7:H22)</f>
        <v>3518100</v>
      </c>
      <c r="I24" s="49">
        <f>SUM(I7:I23)</f>
        <v>1</v>
      </c>
      <c r="J24" s="35">
        <f>SUM(J7:J23)</f>
        <v>157499.99999999997</v>
      </c>
      <c r="K24" s="73">
        <f>SUM(K7:K23)</f>
        <v>1340943.9999999998</v>
      </c>
      <c r="L24" s="74">
        <f>SUM(L7:L23)</f>
        <v>1274222</v>
      </c>
      <c r="M24" s="71"/>
    </row>
    <row r="25" spans="1:13" x14ac:dyDescent="0.3">
      <c r="H25" s="31"/>
    </row>
    <row r="26" spans="1:13" x14ac:dyDescent="0.3">
      <c r="A26" s="45" t="s">
        <v>74</v>
      </c>
    </row>
    <row r="27" spans="1:13" ht="28.8" x14ac:dyDescent="0.3">
      <c r="A27" s="45" t="s">
        <v>75</v>
      </c>
      <c r="I27" s="75"/>
    </row>
    <row r="28" spans="1:13" ht="28.8" x14ac:dyDescent="0.3">
      <c r="A28" s="45" t="s">
        <v>76</v>
      </c>
      <c r="I28" s="75"/>
    </row>
    <row r="29" spans="1:13" x14ac:dyDescent="0.3">
      <c r="A29" s="113" t="s">
        <v>111</v>
      </c>
      <c r="B29" s="129" t="s">
        <v>98</v>
      </c>
      <c r="C29" s="131"/>
      <c r="D29" s="131"/>
      <c r="I29" s="75"/>
    </row>
    <row r="30" spans="1:13" x14ac:dyDescent="0.3">
      <c r="A30" s="113" t="s">
        <v>110</v>
      </c>
      <c r="B30" s="129" t="s">
        <v>97</v>
      </c>
      <c r="C30" s="131"/>
      <c r="D30" s="131"/>
      <c r="I30" s="75"/>
    </row>
    <row r="31" spans="1:13" x14ac:dyDescent="0.3">
      <c r="A31" s="132" t="s">
        <v>112</v>
      </c>
      <c r="B31" s="133" t="s">
        <v>99</v>
      </c>
      <c r="C31" s="134"/>
      <c r="D31" s="131"/>
      <c r="I31" s="75"/>
    </row>
    <row r="32" spans="1:13" ht="28.8" x14ac:dyDescent="0.3">
      <c r="A32" s="113" t="s">
        <v>114</v>
      </c>
      <c r="B32" s="129" t="s">
        <v>96</v>
      </c>
      <c r="C32" s="131"/>
      <c r="D32" s="131"/>
      <c r="I32" s="75"/>
    </row>
    <row r="33" spans="1:9" ht="28.8" x14ac:dyDescent="0.3">
      <c r="A33" s="113" t="s">
        <v>113</v>
      </c>
      <c r="B33" s="129" t="s">
        <v>95</v>
      </c>
      <c r="C33" s="131"/>
      <c r="D33" s="131"/>
      <c r="I33" s="75"/>
    </row>
    <row r="34" spans="1:9" x14ac:dyDescent="0.3">
      <c r="A34" s="132" t="s">
        <v>109</v>
      </c>
      <c r="B34" s="133" t="s">
        <v>100</v>
      </c>
      <c r="C34" s="134"/>
      <c r="D34" s="131"/>
      <c r="I34" s="75"/>
    </row>
    <row r="35" spans="1:9" x14ac:dyDescent="0.3">
      <c r="A35" s="113" t="s">
        <v>116</v>
      </c>
      <c r="B35" s="129" t="s">
        <v>102</v>
      </c>
      <c r="C35" s="131"/>
      <c r="D35" s="131"/>
      <c r="I35" s="75"/>
    </row>
    <row r="36" spans="1:9" x14ac:dyDescent="0.3">
      <c r="A36" s="113" t="s">
        <v>115</v>
      </c>
      <c r="B36" s="129" t="s">
        <v>101</v>
      </c>
      <c r="C36" s="131"/>
      <c r="D36" s="131"/>
      <c r="I36" s="75"/>
    </row>
    <row r="37" spans="1:9" x14ac:dyDescent="0.3">
      <c r="I37" s="75"/>
    </row>
    <row r="38" spans="1:9" x14ac:dyDescent="0.3">
      <c r="I38" s="75"/>
    </row>
    <row r="39" spans="1:9" x14ac:dyDescent="0.3">
      <c r="I39" s="75"/>
    </row>
    <row r="40" spans="1:9" x14ac:dyDescent="0.3">
      <c r="I40" s="75"/>
    </row>
    <row r="41" spans="1:9" x14ac:dyDescent="0.3">
      <c r="I41" s="75"/>
    </row>
    <row r="42" spans="1:9" x14ac:dyDescent="0.3">
      <c r="I42" s="75"/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zoomScale="90" zoomScaleNormal="90" workbookViewId="0">
      <selection activeCell="I10" sqref="I10"/>
    </sheetView>
  </sheetViews>
  <sheetFormatPr defaultColWidth="9.33203125" defaultRowHeight="14.4" x14ac:dyDescent="0.3"/>
  <cols>
    <col min="1" max="1" width="42.6640625" style="8" customWidth="1"/>
    <col min="2" max="3" width="10.44140625" style="8" bestFit="1" customWidth="1"/>
    <col min="4" max="5" width="15.33203125" style="8" bestFit="1" customWidth="1"/>
    <col min="6" max="7" width="15.33203125" style="8" customWidth="1"/>
    <col min="8" max="8" width="18.44140625" style="8" bestFit="1" customWidth="1"/>
    <col min="9" max="9" width="18.6640625" style="8" customWidth="1"/>
    <col min="10" max="10" width="15.33203125" style="8" customWidth="1"/>
    <col min="11" max="11" width="16.44140625" style="8" customWidth="1"/>
    <col min="12" max="13" width="21.33203125" style="8" bestFit="1" customWidth="1"/>
    <col min="14" max="16384" width="9.33203125" style="8"/>
  </cols>
  <sheetData>
    <row r="1" spans="1:13" x14ac:dyDescent="0.3">
      <c r="A1" s="1"/>
      <c r="B1" s="54"/>
      <c r="C1" s="58" t="s">
        <v>94</v>
      </c>
      <c r="D1" s="59"/>
    </row>
    <row r="2" spans="1:13" ht="15" thickBot="1" x14ac:dyDescent="0.35">
      <c r="A2" s="1"/>
      <c r="B2" s="65"/>
      <c r="C2" s="60" t="s">
        <v>108</v>
      </c>
      <c r="D2" s="61"/>
    </row>
    <row r="3" spans="1:13" x14ac:dyDescent="0.3">
      <c r="A3" s="66"/>
      <c r="B3" s="66"/>
      <c r="C3" s="67"/>
      <c r="D3" s="67"/>
    </row>
    <row r="4" spans="1:13" x14ac:dyDescent="0.3">
      <c r="A4" s="66"/>
      <c r="B4" s="66"/>
      <c r="C4" s="67"/>
      <c r="D4" s="7"/>
    </row>
    <row r="5" spans="1:13" x14ac:dyDescent="0.3">
      <c r="A5" s="66"/>
      <c r="B5" s="66"/>
      <c r="C5" s="67"/>
      <c r="D5" s="7"/>
    </row>
    <row r="6" spans="1:13" x14ac:dyDescent="0.3">
      <c r="A6" s="1"/>
      <c r="B6" s="41">
        <v>2019</v>
      </c>
      <c r="C6" s="20">
        <v>2020</v>
      </c>
      <c r="D6" s="20">
        <v>2018</v>
      </c>
      <c r="E6" s="20">
        <v>2019</v>
      </c>
      <c r="F6" s="20">
        <v>2021</v>
      </c>
      <c r="G6" s="20">
        <v>2022</v>
      </c>
      <c r="H6" s="20">
        <v>2021</v>
      </c>
      <c r="I6" s="20">
        <v>2022</v>
      </c>
      <c r="J6" s="20">
        <v>2019</v>
      </c>
      <c r="K6" s="21">
        <v>2020</v>
      </c>
      <c r="L6" s="21">
        <v>2021</v>
      </c>
      <c r="M6" s="21">
        <v>2022</v>
      </c>
    </row>
    <row r="7" spans="1:13" x14ac:dyDescent="0.3">
      <c r="A7" s="44" t="s">
        <v>50</v>
      </c>
      <c r="B7" s="44" t="s">
        <v>52</v>
      </c>
      <c r="C7" s="40" t="s">
        <v>52</v>
      </c>
      <c r="D7" s="40" t="s">
        <v>53</v>
      </c>
      <c r="E7" s="40" t="s">
        <v>53</v>
      </c>
      <c r="F7" s="40" t="s">
        <v>78</v>
      </c>
      <c r="G7" s="40" t="s">
        <v>78</v>
      </c>
      <c r="H7" s="40" t="s">
        <v>81</v>
      </c>
      <c r="I7" s="40" t="s">
        <v>79</v>
      </c>
      <c r="J7" s="40" t="s">
        <v>56</v>
      </c>
      <c r="K7" s="21" t="s">
        <v>56</v>
      </c>
      <c r="L7" s="78" t="s">
        <v>82</v>
      </c>
      <c r="M7" s="78" t="s">
        <v>82</v>
      </c>
    </row>
    <row r="8" spans="1:13" x14ac:dyDescent="0.3">
      <c r="A8" s="50" t="s">
        <v>58</v>
      </c>
      <c r="B8" s="55">
        <v>2.255409587826927E-2</v>
      </c>
      <c r="C8" s="52">
        <v>1.8584797002591275E-2</v>
      </c>
      <c r="D8" s="55">
        <v>2.7574042365236182E-2</v>
      </c>
      <c r="E8" s="52">
        <v>2.7460693977848335E-2</v>
      </c>
      <c r="F8" s="55">
        <v>2.3809082500010997E-2</v>
      </c>
      <c r="G8" s="51">
        <v>2.080377124640554E-2</v>
      </c>
      <c r="H8" s="62">
        <v>26588.126227577279</v>
      </c>
      <c r="I8" s="63">
        <v>24620.098258931157</v>
      </c>
      <c r="J8" s="55">
        <v>2.0151127004823993E-2</v>
      </c>
      <c r="K8" s="51">
        <v>1.7337483300645235E-2</v>
      </c>
      <c r="L8" s="62">
        <v>3173.8025032597789</v>
      </c>
      <c r="M8" s="83">
        <v>2730.6536198516246</v>
      </c>
    </row>
    <row r="9" spans="1:13" x14ac:dyDescent="0.3">
      <c r="A9" s="47" t="s">
        <v>59</v>
      </c>
      <c r="B9" s="56">
        <v>9.3663815373909373E-2</v>
      </c>
      <c r="C9" s="53">
        <v>0.10408926394277654</v>
      </c>
      <c r="D9" s="56">
        <v>8.7061363278040371E-2</v>
      </c>
      <c r="E9" s="53">
        <v>8.7500639605794045E-2</v>
      </c>
      <c r="F9" s="56">
        <v>9.2013202349942119E-2</v>
      </c>
      <c r="G9" s="43">
        <v>9.9942107858530915E-2</v>
      </c>
      <c r="H9" s="62">
        <v>102753.16735463207</v>
      </c>
      <c r="I9" s="64">
        <v>118275.88789253126</v>
      </c>
      <c r="J9" s="56">
        <v>0.11139178104601051</v>
      </c>
      <c r="K9" s="43">
        <v>0.10832921179045507</v>
      </c>
      <c r="L9" s="62">
        <v>17544.205514746656</v>
      </c>
      <c r="M9" s="83">
        <v>17061.850856996673</v>
      </c>
    </row>
    <row r="10" spans="1:13" x14ac:dyDescent="0.3">
      <c r="A10" s="45" t="s">
        <v>104</v>
      </c>
      <c r="B10" s="56">
        <v>9.1351794419276558E-2</v>
      </c>
      <c r="C10" s="53">
        <v>9.500437593558303E-2</v>
      </c>
      <c r="D10" s="56">
        <v>8.0709311579956158E-2</v>
      </c>
      <c r="E10" s="53">
        <v>8.0784222589319346E-2</v>
      </c>
      <c r="F10" s="56">
        <v>8.8691173709446458E-2</v>
      </c>
      <c r="G10" s="43">
        <v>9.1449337599017105E-2</v>
      </c>
      <c r="H10" s="62">
        <v>99043.384887160471</v>
      </c>
      <c r="I10" s="64">
        <v>108225.1698855312</v>
      </c>
      <c r="J10" s="56">
        <v>8.965820125041403E-2</v>
      </c>
      <c r="K10" s="43">
        <v>8.9427816150763201E-2</v>
      </c>
      <c r="L10" s="62">
        <v>14121.16669694021</v>
      </c>
      <c r="M10" s="83">
        <v>14084.881043745205</v>
      </c>
    </row>
    <row r="11" spans="1:13" x14ac:dyDescent="0.3">
      <c r="A11" s="47" t="s">
        <v>60</v>
      </c>
      <c r="B11" s="56">
        <v>2.1949030293916552E-2</v>
      </c>
      <c r="C11" s="53">
        <v>2.0400460251847021E-2</v>
      </c>
      <c r="D11" s="56">
        <v>2.900125528026655E-2</v>
      </c>
      <c r="E11" s="53">
        <v>2.9100651790391383E-2</v>
      </c>
      <c r="F11" s="56">
        <v>2.3712086540504052E-2</v>
      </c>
      <c r="G11" s="43">
        <v>2.2575508136483111E-2</v>
      </c>
      <c r="H11" s="62">
        <v>26479.808705684765</v>
      </c>
      <c r="I11" s="64">
        <v>26716.84965107212</v>
      </c>
      <c r="J11" s="56">
        <v>2.1493356461583978E-2</v>
      </c>
      <c r="K11" s="43">
        <v>2.0381740143827633E-2</v>
      </c>
      <c r="L11" s="62">
        <v>3385.2036426994764</v>
      </c>
      <c r="M11" s="83">
        <v>3210.1240726528522</v>
      </c>
    </row>
    <row r="12" spans="1:13" x14ac:dyDescent="0.3">
      <c r="A12" s="47" t="s">
        <v>61</v>
      </c>
      <c r="B12" s="56">
        <v>3.6528095848680796E-2</v>
      </c>
      <c r="C12" s="53">
        <v>3.5812096783180175E-2</v>
      </c>
      <c r="D12" s="56">
        <v>4.943716987856913E-2</v>
      </c>
      <c r="E12" s="53">
        <v>4.9317499973902369E-2</v>
      </c>
      <c r="F12" s="56">
        <v>3.9755364356152879E-2</v>
      </c>
      <c r="G12" s="43">
        <v>3.9188447580860722E-2</v>
      </c>
      <c r="H12" s="62">
        <v>44395.689994531756</v>
      </c>
      <c r="I12" s="64">
        <v>46377.333158884139</v>
      </c>
      <c r="J12" s="56">
        <v>3.8500947445250636E-2</v>
      </c>
      <c r="K12" s="43">
        <v>3.5408032744947554E-2</v>
      </c>
      <c r="L12" s="62">
        <v>6063.8992226269747</v>
      </c>
      <c r="M12" s="83">
        <v>5576.7651573292396</v>
      </c>
    </row>
    <row r="13" spans="1:13" x14ac:dyDescent="0.3">
      <c r="A13" s="47" t="s">
        <v>62</v>
      </c>
      <c r="B13" s="56">
        <v>1.3584855345129897E-2</v>
      </c>
      <c r="C13" s="53">
        <v>1.2734786873507603E-2</v>
      </c>
      <c r="D13" s="56">
        <v>2.0576383572110529E-2</v>
      </c>
      <c r="E13" s="53">
        <v>2.0560994605406436E-2</v>
      </c>
      <c r="F13" s="56">
        <v>1.5332737401875055E-2</v>
      </c>
      <c r="G13" s="43">
        <v>1.469133880648231E-2</v>
      </c>
      <c r="H13" s="62">
        <v>17122.405176896715</v>
      </c>
      <c r="I13" s="64">
        <v>17386.37676249865</v>
      </c>
      <c r="J13" s="56">
        <v>1.2121698909526071E-2</v>
      </c>
      <c r="K13" s="43">
        <v>1.2130695545891248E-2</v>
      </c>
      <c r="L13" s="62">
        <v>1909.1675782503562</v>
      </c>
      <c r="M13" s="83">
        <v>1910.5845484778715</v>
      </c>
    </row>
    <row r="14" spans="1:13" x14ac:dyDescent="0.3">
      <c r="A14" s="47" t="s">
        <v>63</v>
      </c>
      <c r="B14" s="56">
        <v>9.5130130299778071E-2</v>
      </c>
      <c r="C14" s="53">
        <v>9.3794743334162906E-2</v>
      </c>
      <c r="D14" s="56">
        <v>0.16341596473730152</v>
      </c>
      <c r="E14" s="53">
        <v>0.16195691478465693</v>
      </c>
      <c r="F14" s="56">
        <v>0.11220158890915893</v>
      </c>
      <c r="G14" s="43">
        <v>0.1108352861967864</v>
      </c>
      <c r="H14" s="62">
        <v>125297.98276981378</v>
      </c>
      <c r="I14" s="64">
        <v>131167.35443786968</v>
      </c>
      <c r="J14" s="56">
        <v>9.4550356816392372E-2</v>
      </c>
      <c r="K14" s="43">
        <v>0.10189221454762513</v>
      </c>
      <c r="L14" s="62">
        <v>14891.681198581799</v>
      </c>
      <c r="M14" s="83">
        <v>16048.023791250958</v>
      </c>
    </row>
    <row r="15" spans="1:13" x14ac:dyDescent="0.3">
      <c r="A15" s="45" t="s">
        <v>64</v>
      </c>
      <c r="B15" s="56">
        <v>7.2384458410121352E-2</v>
      </c>
      <c r="C15" s="53">
        <v>7.1199172072416231E-2</v>
      </c>
      <c r="D15" s="56">
        <v>7.2892049851527557E-2</v>
      </c>
      <c r="E15" s="53">
        <v>7.3166795671661386E-2</v>
      </c>
      <c r="F15" s="56">
        <v>7.2511356270472893E-2</v>
      </c>
      <c r="G15" s="43">
        <v>7.1691077972227527E-2</v>
      </c>
      <c r="H15" s="62">
        <v>80975.026797075028</v>
      </c>
      <c r="I15" s="64">
        <v>84842.376079764828</v>
      </c>
      <c r="J15" s="56">
        <v>7.1945414773956107E-2</v>
      </c>
      <c r="K15" s="43">
        <v>7.0070208351098603E-2</v>
      </c>
      <c r="L15" s="62">
        <v>11331.402826898087</v>
      </c>
      <c r="M15" s="83">
        <v>11036.057815298031</v>
      </c>
    </row>
    <row r="16" spans="1:13" x14ac:dyDescent="0.3">
      <c r="A16" s="47" t="s">
        <v>65</v>
      </c>
      <c r="B16" s="56">
        <v>6.7466498074782805E-2</v>
      </c>
      <c r="C16" s="53">
        <v>6.8517322161720753E-2</v>
      </c>
      <c r="D16" s="56">
        <v>7.6084151403202516E-2</v>
      </c>
      <c r="E16" s="53">
        <v>7.6159722957852075E-2</v>
      </c>
      <c r="F16" s="56">
        <v>6.9620911406887726E-2</v>
      </c>
      <c r="G16" s="43">
        <v>7.0427922360753584E-2</v>
      </c>
      <c r="H16" s="62">
        <v>77747.203428122477</v>
      </c>
      <c r="I16" s="64">
        <v>83347.502150299668</v>
      </c>
      <c r="J16" s="56">
        <v>6.3E-2</v>
      </c>
      <c r="K16" s="43">
        <v>6.7074273045109573E-2</v>
      </c>
      <c r="L16" s="62">
        <v>9930.7369821642096</v>
      </c>
      <c r="M16" s="83">
        <v>10564.198004604757</v>
      </c>
    </row>
    <row r="17" spans="1:13" x14ac:dyDescent="0.3">
      <c r="A17" s="47" t="s">
        <v>66</v>
      </c>
      <c r="B17" s="56">
        <v>3.3462692397653371E-2</v>
      </c>
      <c r="C17" s="53">
        <v>3.3691132380123223E-2</v>
      </c>
      <c r="D17" s="56">
        <v>2.6086996888534861E-2</v>
      </c>
      <c r="E17" s="53">
        <v>2.5987589850709591E-2</v>
      </c>
      <c r="F17" s="56">
        <v>3.1618768520373743E-2</v>
      </c>
      <c r="G17" s="43">
        <v>3.1765246747769815E-2</v>
      </c>
      <c r="H17" s="62">
        <v>35309.374419608808</v>
      </c>
      <c r="I17" s="64">
        <v>37592.390672167698</v>
      </c>
      <c r="J17" s="56">
        <v>3.1201768810094982E-2</v>
      </c>
      <c r="K17" s="43">
        <v>3.0038657229754698E-2</v>
      </c>
      <c r="L17" s="62">
        <v>4914.2785875899599</v>
      </c>
      <c r="M17" s="83">
        <v>4731.0885136863653</v>
      </c>
    </row>
    <row r="18" spans="1:13" x14ac:dyDescent="0.3">
      <c r="A18" s="47" t="s">
        <v>67</v>
      </c>
      <c r="B18" s="56">
        <v>4.4300220396684069E-2</v>
      </c>
      <c r="C18" s="53">
        <v>4.0114314352468684E-2</v>
      </c>
      <c r="D18" s="56">
        <v>4.2616257848080659E-2</v>
      </c>
      <c r="E18" s="53">
        <v>4.287848790516139E-2</v>
      </c>
      <c r="F18" s="56">
        <v>4.3879229759533213E-2</v>
      </c>
      <c r="G18" s="43">
        <v>4.0805357740641861E-2</v>
      </c>
      <c r="H18" s="62">
        <v>49000.901215525446</v>
      </c>
      <c r="I18" s="64">
        <v>48290.855786016167</v>
      </c>
      <c r="J18" s="56">
        <v>4.1000000000000002E-2</v>
      </c>
      <c r="K18" s="43">
        <v>3.9224297205878174E-2</v>
      </c>
      <c r="L18" s="62">
        <v>6520.774748434902</v>
      </c>
      <c r="M18" s="83">
        <v>6177.8268099258121</v>
      </c>
    </row>
    <row r="19" spans="1:13" x14ac:dyDescent="0.3">
      <c r="A19" s="47" t="s">
        <v>68</v>
      </c>
      <c r="B19" s="56">
        <v>0.23407330113932481</v>
      </c>
      <c r="C19" s="53">
        <v>0.23167043019032676</v>
      </c>
      <c r="D19" s="56">
        <v>0.14760950863196459</v>
      </c>
      <c r="E19" s="53">
        <v>0.14841370062136314</v>
      </c>
      <c r="F19" s="56">
        <v>0.21245735301248475</v>
      </c>
      <c r="G19" s="43">
        <v>0.21085624779808587</v>
      </c>
      <c r="H19" s="62">
        <v>237255.80017080798</v>
      </c>
      <c r="I19" s="64">
        <v>249536.56131915795</v>
      </c>
      <c r="J19" s="56">
        <v>0.23550876686214903</v>
      </c>
      <c r="K19" s="43">
        <v>0.24694835280407038</v>
      </c>
      <c r="L19" s="62">
        <v>37092.630780788473</v>
      </c>
      <c r="M19" s="83">
        <v>38894.365566641085</v>
      </c>
    </row>
    <row r="20" spans="1:13" x14ac:dyDescent="0.3">
      <c r="A20" s="47" t="s">
        <v>69</v>
      </c>
      <c r="B20" s="56">
        <v>2.2177310995657798E-2</v>
      </c>
      <c r="C20" s="53">
        <v>1.9973724385490353E-2</v>
      </c>
      <c r="D20" s="56">
        <v>2.205087796547283E-2</v>
      </c>
      <c r="E20" s="53">
        <v>2.2013734026326601E-2</v>
      </c>
      <c r="F20" s="56">
        <v>2.2145702738111554E-2</v>
      </c>
      <c r="G20" s="43">
        <v>2.0483726795699417E-2</v>
      </c>
      <c r="H20" s="62">
        <v>24730.59345310941</v>
      </c>
      <c r="I20" s="64">
        <v>24241.343574009701</v>
      </c>
      <c r="J20" s="56">
        <v>1.8529251059543332E-2</v>
      </c>
      <c r="K20" s="43">
        <v>1.7907393195190587E-2</v>
      </c>
      <c r="L20" s="62">
        <v>2918.3570418780746</v>
      </c>
      <c r="M20" s="83">
        <v>2820.4144282425173</v>
      </c>
    </row>
    <row r="21" spans="1:13" x14ac:dyDescent="0.3">
      <c r="A21" s="47" t="s">
        <v>70</v>
      </c>
      <c r="B21" s="56">
        <v>5.1303606404369206E-2</v>
      </c>
      <c r="C21" s="53">
        <v>4.8709891900247528E-2</v>
      </c>
      <c r="D21" s="56">
        <v>4.9349828093141417E-2</v>
      </c>
      <c r="E21" s="53">
        <v>4.9366957117576056E-2</v>
      </c>
      <c r="F21" s="56">
        <v>5.0815161826562261E-2</v>
      </c>
      <c r="G21" s="43">
        <v>4.887415820457966E-2</v>
      </c>
      <c r="H21" s="62">
        <v>56746.409145282261</v>
      </c>
      <c r="I21" s="64">
        <v>57839.829282260573</v>
      </c>
      <c r="J21" s="56">
        <v>4.5314889683328904E-2</v>
      </c>
      <c r="K21" s="43">
        <v>4.456610102043717E-2</v>
      </c>
      <c r="L21" s="62">
        <v>7137.0951251243023</v>
      </c>
      <c r="M21" s="83">
        <v>7019.1609107188542</v>
      </c>
    </row>
    <row r="22" spans="1:13" x14ac:dyDescent="0.3">
      <c r="A22" s="47" t="s">
        <v>71</v>
      </c>
      <c r="B22" s="56">
        <v>5.0535242401707745E-2</v>
      </c>
      <c r="C22" s="53">
        <v>5.9869741984094622E-2</v>
      </c>
      <c r="D22" s="56">
        <v>5.6880134231257318E-2</v>
      </c>
      <c r="E22" s="53">
        <v>5.680024601934168E-2</v>
      </c>
      <c r="F22" s="56">
        <v>5.2121465359095134E-2</v>
      </c>
      <c r="G22" s="43">
        <v>5.9102367992906385E-2</v>
      </c>
      <c r="H22" s="62">
        <v>58205.187038739437</v>
      </c>
      <c r="I22" s="64">
        <v>69944.342786997106</v>
      </c>
      <c r="J22" s="56">
        <v>6.2097731842229276E-2</v>
      </c>
      <c r="K22" s="43">
        <v>5.8339728830903041E-2</v>
      </c>
      <c r="L22" s="62">
        <v>9780.3927651511112</v>
      </c>
      <c r="M22" s="83">
        <v>9188.5072908672282</v>
      </c>
    </row>
    <row r="23" spans="1:13" x14ac:dyDescent="0.3">
      <c r="A23" s="47" t="s">
        <v>72</v>
      </c>
      <c r="B23" s="56">
        <v>4.9534852320738315E-2</v>
      </c>
      <c r="C23" s="53">
        <v>4.5833746449463302E-2</v>
      </c>
      <c r="D23" s="56">
        <v>4.8654704395337804E-2</v>
      </c>
      <c r="E23" s="53">
        <v>4.8531148502689254E-2</v>
      </c>
      <c r="F23" s="56">
        <v>4.9314815339388189E-2</v>
      </c>
      <c r="G23" s="43">
        <v>4.6508096962769786E-2</v>
      </c>
      <c r="H23" s="62">
        <v>55070.939215432256</v>
      </c>
      <c r="I23" s="64">
        <v>55039.72830200813</v>
      </c>
      <c r="J23" s="56">
        <v>4.3080665300734192E-2</v>
      </c>
      <c r="K23" s="43">
        <v>4.0923794093402688E-2</v>
      </c>
      <c r="L23" s="62">
        <v>6785.2047848656348</v>
      </c>
      <c r="M23" s="83">
        <v>6445.497569710923</v>
      </c>
    </row>
    <row r="24" spans="1:13" hidden="1" x14ac:dyDescent="0.3">
      <c r="A24" s="47"/>
      <c r="B24" s="47"/>
      <c r="C24" s="33"/>
      <c r="D24" s="33"/>
      <c r="E24" s="37">
        <v>0</v>
      </c>
      <c r="F24" s="37"/>
      <c r="G24" s="37"/>
      <c r="I24" s="37"/>
      <c r="J24" s="37"/>
      <c r="K24" s="46">
        <v>0</v>
      </c>
    </row>
    <row r="25" spans="1:13" x14ac:dyDescent="0.3">
      <c r="A25" s="48" t="s">
        <v>73</v>
      </c>
      <c r="B25" s="84">
        <f t="shared" ref="B25:G25" si="0">SUM(B8:B23)</f>
        <v>0.99999999999999978</v>
      </c>
      <c r="C25" s="84">
        <f t="shared" si="0"/>
        <v>1.0000000000000002</v>
      </c>
      <c r="D25" s="84">
        <f t="shared" si="0"/>
        <v>1</v>
      </c>
      <c r="E25" s="84">
        <f t="shared" si="0"/>
        <v>1.0000000000000002</v>
      </c>
      <c r="F25" s="84">
        <f t="shared" si="0"/>
        <v>0.99999999999999989</v>
      </c>
      <c r="G25" s="84">
        <f t="shared" si="0"/>
        <v>1</v>
      </c>
      <c r="H25" s="18">
        <f t="shared" ref="H25:M25" si="1">SUM(H8:H23)</f>
        <v>1116721.9999999998</v>
      </c>
      <c r="I25" s="57">
        <f t="shared" si="1"/>
        <v>1183444</v>
      </c>
      <c r="J25" s="85">
        <f t="shared" si="1"/>
        <v>0.99954595726603734</v>
      </c>
      <c r="K25" s="85">
        <f t="shared" si="1"/>
        <v>1</v>
      </c>
      <c r="L25" s="57">
        <f t="shared" si="1"/>
        <v>157500</v>
      </c>
      <c r="M25" s="57">
        <f t="shared" si="1"/>
        <v>157499.99999999997</v>
      </c>
    </row>
    <row r="26" spans="1:13" x14ac:dyDescent="0.3">
      <c r="A26" s="1"/>
      <c r="B26" s="1"/>
    </row>
    <row r="27" spans="1:13" x14ac:dyDescent="0.3">
      <c r="A27" s="1"/>
      <c r="B27" s="1"/>
    </row>
    <row r="28" spans="1:13" x14ac:dyDescent="0.3">
      <c r="A28" s="1"/>
      <c r="B28" s="1"/>
    </row>
    <row r="29" spans="1:13" x14ac:dyDescent="0.3">
      <c r="A29" s="1"/>
      <c r="B29" s="1"/>
    </row>
    <row r="30" spans="1:13" x14ac:dyDescent="0.3">
      <c r="A30" s="38"/>
      <c r="B30" s="38"/>
    </row>
    <row r="31" spans="1:13" x14ac:dyDescent="0.3">
      <c r="A31" s="38"/>
      <c r="B31" s="38"/>
    </row>
    <row r="32" spans="1:13" x14ac:dyDescent="0.3">
      <c r="A32" s="39"/>
      <c r="B32" s="39"/>
    </row>
    <row r="33" spans="1:2" x14ac:dyDescent="0.3">
      <c r="A33" s="38"/>
      <c r="B33" s="38"/>
    </row>
    <row r="34" spans="1:2" x14ac:dyDescent="0.3">
      <c r="A34" s="38"/>
      <c r="B34" s="38"/>
    </row>
    <row r="35" spans="1:2" x14ac:dyDescent="0.3">
      <c r="A35" s="39"/>
      <c r="B35" s="39"/>
    </row>
    <row r="36" spans="1:2" x14ac:dyDescent="0.3">
      <c r="A36" s="38"/>
      <c r="B36" s="38"/>
    </row>
    <row r="37" spans="1:2" x14ac:dyDescent="0.3">
      <c r="A37" s="38"/>
      <c r="B37" s="38"/>
    </row>
    <row r="39" spans="1:2" x14ac:dyDescent="0.3">
      <c r="A39" s="38"/>
      <c r="B39" s="38"/>
    </row>
  </sheetData>
  <pageMargins left="0.7" right="0.7" top="0.75" bottom="0.75" header="0.3" footer="0.3"/>
  <pageSetup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workbookViewId="0">
      <selection activeCell="F37" sqref="F37"/>
    </sheetView>
  </sheetViews>
  <sheetFormatPr defaultRowHeight="14.4" x14ac:dyDescent="0.3"/>
  <cols>
    <col min="1" max="1" width="42.77734375" customWidth="1"/>
    <col min="2" max="2" width="14.33203125" customWidth="1"/>
    <col min="3" max="3" width="12.109375" customWidth="1"/>
    <col min="4" max="4" width="13.109375" customWidth="1"/>
    <col min="5" max="5" width="17.21875" customWidth="1"/>
    <col min="6" max="6" width="16.77734375" customWidth="1"/>
    <col min="7" max="7" width="16.6640625" customWidth="1"/>
  </cols>
  <sheetData>
    <row r="1" spans="1:13" ht="18" x14ac:dyDescent="0.35">
      <c r="A1" s="172" t="s">
        <v>124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8.8" x14ac:dyDescent="0.3">
      <c r="A2" s="1"/>
      <c r="B2" s="1" t="s">
        <v>123</v>
      </c>
      <c r="C2" s="128">
        <v>100000</v>
      </c>
      <c r="D2" s="135"/>
      <c r="E2" s="8"/>
      <c r="F2" s="8"/>
      <c r="G2" s="14"/>
      <c r="H2" s="128"/>
      <c r="I2" s="8"/>
      <c r="J2" s="8"/>
      <c r="K2" s="8"/>
      <c r="L2" s="8"/>
      <c r="M2" s="8"/>
    </row>
    <row r="3" spans="1:13" x14ac:dyDescent="0.3">
      <c r="A3" s="1"/>
      <c r="B3" s="8"/>
      <c r="C3" s="8"/>
      <c r="D3" s="8"/>
      <c r="E3" s="8"/>
      <c r="F3" s="8"/>
      <c r="G3" s="8"/>
      <c r="H3" s="7"/>
      <c r="I3" s="7"/>
      <c r="J3" s="8"/>
      <c r="K3" s="8"/>
      <c r="L3" s="8"/>
      <c r="M3" s="8"/>
    </row>
    <row r="4" spans="1:13" x14ac:dyDescent="0.3">
      <c r="A4" s="1"/>
      <c r="B4" s="136">
        <v>2020</v>
      </c>
      <c r="C4" s="136">
        <v>2020</v>
      </c>
      <c r="D4" s="136">
        <v>2019</v>
      </c>
      <c r="E4" s="20">
        <v>2019</v>
      </c>
      <c r="F4" s="20" t="s">
        <v>121</v>
      </c>
      <c r="G4" s="14" t="s">
        <v>121</v>
      </c>
      <c r="H4" s="144"/>
      <c r="I4" s="145"/>
      <c r="J4" s="8"/>
      <c r="K4" s="8"/>
      <c r="L4" s="8"/>
      <c r="M4" s="8"/>
    </row>
    <row r="5" spans="1:13" x14ac:dyDescent="0.3">
      <c r="A5" s="137"/>
      <c r="B5" s="138" t="s">
        <v>51</v>
      </c>
      <c r="C5" s="138" t="s">
        <v>52</v>
      </c>
      <c r="D5" s="138" t="s">
        <v>122</v>
      </c>
      <c r="E5" s="138" t="s">
        <v>53</v>
      </c>
      <c r="F5" s="138" t="s">
        <v>77</v>
      </c>
      <c r="G5" s="139" t="s">
        <v>54</v>
      </c>
      <c r="H5" s="146"/>
      <c r="I5" s="147"/>
      <c r="J5" s="140"/>
      <c r="K5" s="8"/>
      <c r="L5" s="8"/>
      <c r="M5" s="8"/>
    </row>
    <row r="6" spans="1:13" x14ac:dyDescent="0.3">
      <c r="A6" s="1" t="s">
        <v>58</v>
      </c>
      <c r="B6" s="112">
        <v>130087</v>
      </c>
      <c r="C6" s="37">
        <f>B6/$B$22</f>
        <v>1.8584797002591275E-2</v>
      </c>
      <c r="D6" s="69">
        <v>160465</v>
      </c>
      <c r="E6" s="37">
        <f>D6/$D$22</f>
        <v>2.7460693977848335E-2</v>
      </c>
      <c r="F6" s="96">
        <f>(($C6*3)+$E6)/4</f>
        <v>2.080377124640554E-2</v>
      </c>
      <c r="G6" s="141">
        <f>(($C6*3)+$E6)/4*$C$2</f>
        <v>2080.377124640554</v>
      </c>
      <c r="H6" s="148"/>
      <c r="I6" s="149"/>
      <c r="J6" s="142"/>
      <c r="K6" s="8"/>
      <c r="L6" s="8"/>
      <c r="M6" s="8"/>
    </row>
    <row r="7" spans="1:13" x14ac:dyDescent="0.3">
      <c r="A7" s="47" t="s">
        <v>59</v>
      </c>
      <c r="B7" s="112">
        <v>728588</v>
      </c>
      <c r="C7" s="37">
        <f t="shared" ref="C7:C21" si="0">B7/$B$22</f>
        <v>0.10408926394277654</v>
      </c>
      <c r="D7" s="69">
        <v>511305</v>
      </c>
      <c r="E7" s="37">
        <f t="shared" ref="E7:E22" si="1">D7/$D$22</f>
        <v>8.7500639605794045E-2</v>
      </c>
      <c r="F7" s="96">
        <f t="shared" ref="F7:F21" si="2">(($C7*3)+$E7)/4</f>
        <v>9.9942107858530915E-2</v>
      </c>
      <c r="G7" s="141">
        <f t="shared" ref="G7:G21" si="3">(($C7*3)+$E7)/4*$C$2</f>
        <v>9994.2107858530908</v>
      </c>
      <c r="H7" s="148"/>
      <c r="I7" s="149"/>
      <c r="J7" s="142"/>
      <c r="K7" s="8"/>
      <c r="L7" s="8"/>
      <c r="M7" s="8"/>
    </row>
    <row r="8" spans="1:13" x14ac:dyDescent="0.3">
      <c r="A8" s="1" t="s">
        <v>104</v>
      </c>
      <c r="B8" s="112">
        <v>664997</v>
      </c>
      <c r="C8" s="37">
        <f t="shared" si="0"/>
        <v>9.500437593558303E-2</v>
      </c>
      <c r="D8" s="69">
        <v>472058</v>
      </c>
      <c r="E8" s="37">
        <f t="shared" si="1"/>
        <v>8.0784222589319346E-2</v>
      </c>
      <c r="F8" s="96">
        <f t="shared" si="2"/>
        <v>9.1449337599017105E-2</v>
      </c>
      <c r="G8" s="141">
        <f t="shared" si="3"/>
        <v>9144.9337599017108</v>
      </c>
      <c r="H8" s="148"/>
      <c r="I8" s="149"/>
      <c r="J8" s="142"/>
      <c r="K8" s="8"/>
      <c r="L8" s="8"/>
      <c r="M8" s="8"/>
    </row>
    <row r="9" spans="1:13" x14ac:dyDescent="0.3">
      <c r="A9" s="47" t="s">
        <v>60</v>
      </c>
      <c r="B9" s="112">
        <v>142796</v>
      </c>
      <c r="C9" s="37">
        <f t="shared" si="0"/>
        <v>2.0400460251847021E-2</v>
      </c>
      <c r="D9" s="69">
        <v>170048</v>
      </c>
      <c r="E9" s="37">
        <f t="shared" si="1"/>
        <v>2.9100651790391383E-2</v>
      </c>
      <c r="F9" s="96">
        <f t="shared" si="2"/>
        <v>2.2575508136483111E-2</v>
      </c>
      <c r="G9" s="141">
        <f t="shared" si="3"/>
        <v>2257.5508136483109</v>
      </c>
      <c r="H9" s="148"/>
      <c r="I9" s="149"/>
      <c r="J9" s="142"/>
      <c r="K9" s="8"/>
      <c r="L9" s="8"/>
      <c r="M9" s="8"/>
    </row>
    <row r="10" spans="1:13" x14ac:dyDescent="0.3">
      <c r="A10" s="47" t="s">
        <v>61</v>
      </c>
      <c r="B10" s="112">
        <v>250672</v>
      </c>
      <c r="C10" s="37">
        <f t="shared" si="0"/>
        <v>3.5812096783180175E-2</v>
      </c>
      <c r="D10" s="69">
        <v>288184</v>
      </c>
      <c r="E10" s="37">
        <f t="shared" si="1"/>
        <v>4.9317499973902369E-2</v>
      </c>
      <c r="F10" s="96">
        <f t="shared" si="2"/>
        <v>3.9188447580860722E-2</v>
      </c>
      <c r="G10" s="141">
        <f t="shared" si="3"/>
        <v>3918.844758086072</v>
      </c>
      <c r="H10" s="148"/>
      <c r="I10" s="149"/>
      <c r="J10" s="142"/>
      <c r="K10" s="8"/>
      <c r="L10" s="8"/>
      <c r="M10" s="8"/>
    </row>
    <row r="11" spans="1:13" x14ac:dyDescent="0.3">
      <c r="A11" s="47" t="s">
        <v>62</v>
      </c>
      <c r="B11" s="112">
        <v>89139</v>
      </c>
      <c r="C11" s="37">
        <f t="shared" si="0"/>
        <v>1.2734786873507603E-2</v>
      </c>
      <c r="D11" s="69">
        <v>120147</v>
      </c>
      <c r="E11" s="37">
        <f t="shared" si="1"/>
        <v>2.0560994605406436E-2</v>
      </c>
      <c r="F11" s="96">
        <f t="shared" si="2"/>
        <v>1.469133880648231E-2</v>
      </c>
      <c r="G11" s="141">
        <f t="shared" si="3"/>
        <v>1469.1338806482311</v>
      </c>
      <c r="H11" s="148"/>
      <c r="I11" s="149"/>
      <c r="J11" s="142"/>
      <c r="K11" s="8"/>
      <c r="L11" s="8"/>
      <c r="M11" s="8"/>
    </row>
    <row r="12" spans="1:13" x14ac:dyDescent="0.3">
      <c r="A12" s="47" t="s">
        <v>63</v>
      </c>
      <c r="B12" s="112">
        <v>656530</v>
      </c>
      <c r="C12" s="37">
        <f t="shared" si="0"/>
        <v>9.3794743334162906E-2</v>
      </c>
      <c r="D12" s="69">
        <v>946386</v>
      </c>
      <c r="E12" s="37">
        <f t="shared" si="1"/>
        <v>0.16195691478465693</v>
      </c>
      <c r="F12" s="96">
        <f t="shared" si="2"/>
        <v>0.1108352861967864</v>
      </c>
      <c r="G12" s="141">
        <f t="shared" si="3"/>
        <v>11083.52861967864</v>
      </c>
      <c r="H12" s="148"/>
      <c r="I12" s="149"/>
      <c r="J12" s="142"/>
      <c r="K12" s="8"/>
      <c r="L12" s="8"/>
      <c r="M12" s="8"/>
    </row>
    <row r="13" spans="1:13" x14ac:dyDescent="0.3">
      <c r="A13" s="1" t="s">
        <v>64</v>
      </c>
      <c r="B13" s="112">
        <v>498369</v>
      </c>
      <c r="C13" s="37">
        <f t="shared" si="0"/>
        <v>7.1199172072416231E-2</v>
      </c>
      <c r="D13" s="69">
        <v>427546</v>
      </c>
      <c r="E13" s="37">
        <f t="shared" si="1"/>
        <v>7.3166795671661386E-2</v>
      </c>
      <c r="F13" s="96">
        <f t="shared" si="2"/>
        <v>7.1691077972227527E-2</v>
      </c>
      <c r="G13" s="141">
        <f t="shared" si="3"/>
        <v>7169.1077972227531</v>
      </c>
      <c r="H13" s="148"/>
      <c r="I13" s="149"/>
      <c r="J13" s="142"/>
      <c r="K13" s="8"/>
      <c r="L13" s="8"/>
      <c r="M13" s="8"/>
    </row>
    <row r="14" spans="1:13" x14ac:dyDescent="0.3">
      <c r="A14" s="47" t="s">
        <v>85</v>
      </c>
      <c r="B14" s="112">
        <v>479597</v>
      </c>
      <c r="C14" s="37">
        <f t="shared" si="0"/>
        <v>6.8517322161720753E-2</v>
      </c>
      <c r="D14" s="112">
        <v>445035</v>
      </c>
      <c r="E14" s="37">
        <f t="shared" si="1"/>
        <v>7.6159722957852075E-2</v>
      </c>
      <c r="F14" s="96">
        <f t="shared" si="2"/>
        <v>7.0427922360753584E-2</v>
      </c>
      <c r="G14" s="141">
        <f t="shared" si="3"/>
        <v>7042.7922360753582</v>
      </c>
      <c r="H14" s="148"/>
      <c r="I14" s="149"/>
      <c r="J14" s="142"/>
      <c r="K14" s="8"/>
      <c r="L14" s="8"/>
      <c r="M14" s="8"/>
    </row>
    <row r="15" spans="1:13" x14ac:dyDescent="0.3">
      <c r="A15" s="47" t="s">
        <v>66</v>
      </c>
      <c r="B15" s="112">
        <v>235826</v>
      </c>
      <c r="C15" s="37">
        <f t="shared" si="0"/>
        <v>3.3691132380123223E-2</v>
      </c>
      <c r="D15" s="69">
        <v>151857</v>
      </c>
      <c r="E15" s="37">
        <f t="shared" si="1"/>
        <v>2.5987589850709591E-2</v>
      </c>
      <c r="F15" s="96">
        <f t="shared" si="2"/>
        <v>3.1765246747769815E-2</v>
      </c>
      <c r="G15" s="141">
        <f t="shared" si="3"/>
        <v>3176.5246747769816</v>
      </c>
      <c r="H15" s="148"/>
      <c r="I15" s="149"/>
      <c r="J15" s="142"/>
      <c r="K15" s="8"/>
      <c r="L15" s="8"/>
      <c r="M15" s="8"/>
    </row>
    <row r="16" spans="1:13" x14ac:dyDescent="0.3">
      <c r="A16" s="47" t="s">
        <v>84</v>
      </c>
      <c r="B16" s="112">
        <v>280786</v>
      </c>
      <c r="C16" s="37">
        <f t="shared" si="0"/>
        <v>4.0114314352468684E-2</v>
      </c>
      <c r="D16" s="112">
        <v>250558</v>
      </c>
      <c r="E16" s="37">
        <f t="shared" si="1"/>
        <v>4.287848790516139E-2</v>
      </c>
      <c r="F16" s="96">
        <f t="shared" si="2"/>
        <v>4.0805357740641861E-2</v>
      </c>
      <c r="G16" s="141">
        <f t="shared" si="3"/>
        <v>4080.5357740641862</v>
      </c>
      <c r="H16" s="148"/>
      <c r="I16" s="149"/>
      <c r="J16" s="142"/>
      <c r="K16" s="8"/>
      <c r="L16" s="8"/>
      <c r="M16" s="8"/>
    </row>
    <row r="17" spans="1:13" x14ac:dyDescent="0.3">
      <c r="A17" s="47" t="s">
        <v>68</v>
      </c>
      <c r="B17" s="112">
        <v>1621611</v>
      </c>
      <c r="C17" s="37">
        <f t="shared" si="0"/>
        <v>0.23167043019032676</v>
      </c>
      <c r="D17" s="69">
        <v>867247</v>
      </c>
      <c r="E17" s="37">
        <f t="shared" si="1"/>
        <v>0.14841370062136314</v>
      </c>
      <c r="F17" s="96">
        <f t="shared" si="2"/>
        <v>0.21085624779808587</v>
      </c>
      <c r="G17" s="141">
        <f t="shared" si="3"/>
        <v>21085.624779808586</v>
      </c>
      <c r="H17" s="148"/>
      <c r="I17" s="149"/>
      <c r="J17" s="142"/>
      <c r="K17" s="8"/>
      <c r="L17" s="8"/>
      <c r="M17" s="8"/>
    </row>
    <row r="18" spans="1:13" x14ac:dyDescent="0.3">
      <c r="A18" s="47" t="s">
        <v>69</v>
      </c>
      <c r="B18" s="112">
        <v>139809</v>
      </c>
      <c r="C18" s="37">
        <f t="shared" si="0"/>
        <v>1.9973724385490353E-2</v>
      </c>
      <c r="D18" s="69">
        <v>128636</v>
      </c>
      <c r="E18" s="37">
        <f t="shared" si="1"/>
        <v>2.2013734026326601E-2</v>
      </c>
      <c r="F18" s="96">
        <f t="shared" si="2"/>
        <v>2.0483726795699417E-2</v>
      </c>
      <c r="G18" s="141">
        <f t="shared" si="3"/>
        <v>2048.3726795699417</v>
      </c>
      <c r="H18" s="148"/>
      <c r="I18" s="149"/>
      <c r="J18" s="142"/>
      <c r="K18" s="8"/>
      <c r="L18" s="8"/>
      <c r="M18" s="8"/>
    </row>
    <row r="19" spans="1:13" x14ac:dyDescent="0.3">
      <c r="A19" s="47" t="s">
        <v>70</v>
      </c>
      <c r="B19" s="112">
        <v>340952</v>
      </c>
      <c r="C19" s="37">
        <f t="shared" si="0"/>
        <v>4.8709891900247528E-2</v>
      </c>
      <c r="D19" s="69">
        <v>288473</v>
      </c>
      <c r="E19" s="37">
        <f t="shared" si="1"/>
        <v>4.9366957117576056E-2</v>
      </c>
      <c r="F19" s="96">
        <f t="shared" si="2"/>
        <v>4.887415820457966E-2</v>
      </c>
      <c r="G19" s="141">
        <f t="shared" si="3"/>
        <v>4887.4158204579662</v>
      </c>
      <c r="H19" s="148"/>
      <c r="I19" s="149"/>
      <c r="J19" s="142"/>
      <c r="K19" s="8"/>
      <c r="L19" s="8"/>
      <c r="M19" s="8"/>
    </row>
    <row r="20" spans="1:13" x14ac:dyDescent="0.3">
      <c r="A20" s="47" t="s">
        <v>71</v>
      </c>
      <c r="B20" s="112">
        <v>419067</v>
      </c>
      <c r="C20" s="37">
        <f t="shared" si="0"/>
        <v>5.9869741984094622E-2</v>
      </c>
      <c r="D20" s="69">
        <v>331909</v>
      </c>
      <c r="E20" s="37">
        <f t="shared" si="1"/>
        <v>5.680024601934168E-2</v>
      </c>
      <c r="F20" s="96">
        <f t="shared" si="2"/>
        <v>5.9102367992906385E-2</v>
      </c>
      <c r="G20" s="141">
        <f t="shared" si="3"/>
        <v>5910.2367992906384</v>
      </c>
      <c r="H20" s="148"/>
      <c r="I20" s="149"/>
      <c r="J20" s="142"/>
      <c r="K20" s="8"/>
      <c r="L20" s="8"/>
      <c r="M20" s="8"/>
    </row>
    <row r="21" spans="1:13" x14ac:dyDescent="0.3">
      <c r="A21" s="47" t="s">
        <v>72</v>
      </c>
      <c r="B21" s="112">
        <v>320820</v>
      </c>
      <c r="C21" s="37">
        <f t="shared" si="0"/>
        <v>4.5833746449463302E-2</v>
      </c>
      <c r="D21" s="69">
        <v>283589</v>
      </c>
      <c r="E21" s="37">
        <f t="shared" si="1"/>
        <v>4.8531148502689254E-2</v>
      </c>
      <c r="F21" s="96">
        <f t="shared" si="2"/>
        <v>4.6508096962769786E-2</v>
      </c>
      <c r="G21" s="141">
        <f t="shared" si="3"/>
        <v>4650.8096962769787</v>
      </c>
      <c r="H21" s="148"/>
      <c r="I21" s="149"/>
      <c r="J21" s="142"/>
      <c r="K21" s="8"/>
      <c r="L21" s="8"/>
      <c r="M21" s="8"/>
    </row>
    <row r="22" spans="1:13" x14ac:dyDescent="0.3">
      <c r="A22" s="12" t="s">
        <v>73</v>
      </c>
      <c r="B22" s="36">
        <f>SUM(B6:B21)</f>
        <v>6999646</v>
      </c>
      <c r="C22" s="37">
        <f>B22/$B$22</f>
        <v>1</v>
      </c>
      <c r="D22" s="36">
        <f>SUM(D6:D21)</f>
        <v>5843443</v>
      </c>
      <c r="E22" s="37">
        <f t="shared" si="1"/>
        <v>1</v>
      </c>
      <c r="F22" s="37">
        <f>SUM(F6:F21)</f>
        <v>1</v>
      </c>
      <c r="G22" s="141">
        <f>SUM(G6:G21)</f>
        <v>100000.00000000001</v>
      </c>
      <c r="H22" s="150"/>
      <c r="I22" s="151"/>
      <c r="J22" s="143"/>
      <c r="K22" s="8"/>
      <c r="L22" s="8"/>
      <c r="M22" s="8"/>
    </row>
    <row r="23" spans="1:13" x14ac:dyDescent="0.3">
      <c r="H23" s="7"/>
      <c r="I23" s="7"/>
    </row>
    <row r="24" spans="1:13" x14ac:dyDescent="0.3">
      <c r="H24" s="7"/>
      <c r="I24" s="7"/>
    </row>
    <row r="25" spans="1:13" x14ac:dyDescent="0.3">
      <c r="H25" s="7"/>
      <c r="I25" s="7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2022 budget</vt:lpstr>
      <vt:lpstr>21-22 comparison and totals</vt:lpstr>
      <vt:lpstr>21-22 comparisons and totals</vt:lpstr>
      <vt:lpstr>Member shares</vt:lpstr>
      <vt:lpstr>Buying pool summary</vt:lpstr>
      <vt:lpstr>Buying pool 21-22 comparison</vt:lpstr>
      <vt:lpstr>Magazine Costs</vt:lpstr>
      <vt:lpstr>'21-22 comparison and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2021-05-24T20:04:33Z</cp:lastPrinted>
  <dcterms:created xsi:type="dcterms:W3CDTF">2007-05-31T16:25:10Z</dcterms:created>
  <dcterms:modified xsi:type="dcterms:W3CDTF">2021-05-24T20:42:35Z</dcterms:modified>
</cp:coreProperties>
</file>